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ttGZbepL8Y73+U0sSozttIe2kNgR0ac9Xy3hI+Uo/PUIT3G94DgxJ4b3ZESoPmkW9ea00b9oIYX694EWUB3T1A==" workbookSaltValue="LiTcoKOL5Awzh1B+P0dkJ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BF17" i="8" s="1"/>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G30" i="14"/>
  <c r="G23" i="14"/>
  <c r="U18" i="11"/>
  <c r="AX32" i="20"/>
  <c r="L32" i="20"/>
  <c r="H32" i="20"/>
  <c r="F32" i="20"/>
  <c r="G26" i="14"/>
  <c r="S32" i="20"/>
  <c r="AQ32" i="21"/>
  <c r="AJ32" i="20"/>
  <c r="Y32" i="20"/>
  <c r="AG32" i="20"/>
  <c r="T32" i="21"/>
  <c r="AF32" i="20"/>
  <c r="K32" i="20"/>
  <c r="O17" i="11"/>
  <c r="E23" i="12" l="1"/>
  <c r="BF16" i="8"/>
  <c r="F16" i="11"/>
  <c r="AQ16" i="11" s="1"/>
  <c r="T31" i="8"/>
  <c r="R13" i="17"/>
  <c r="P13" i="14"/>
  <c r="R13" i="14" s="1"/>
  <c r="BG17" i="13"/>
  <c r="R8" i="9"/>
  <c r="S10" i="14" s="1"/>
  <c r="V10" i="14" s="1"/>
  <c r="T9" i="11"/>
  <c r="BH1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S13" i="17"/>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I10" i="12" l="1"/>
  <c r="I16" i="12"/>
  <c r="I9" i="12"/>
  <c r="K9" i="12"/>
  <c r="BH21" i="16"/>
  <c r="BF11" i="11"/>
  <c r="X12" i="21"/>
  <c r="R28" i="14"/>
  <c r="R18" i="14"/>
  <c r="S28" i="14"/>
  <c r="V28" i="14" s="1"/>
  <c r="S21" i="14"/>
  <c r="V21" i="14" s="1"/>
  <c r="AP17" i="20"/>
  <c r="BH9" i="16"/>
  <c r="V16" i="11"/>
  <c r="BF13" i="11"/>
  <c r="BG25" i="11"/>
  <c r="BH16" i="16"/>
  <c r="Q18" i="20"/>
  <c r="Q23" i="20" s="1"/>
  <c r="BF28" i="11"/>
  <c r="BF18" i="11"/>
  <c r="BG20" i="11"/>
  <c r="BG22" i="11"/>
  <c r="BK29" i="11"/>
  <c r="AZ19" i="11"/>
  <c r="V12" i="21"/>
  <c r="BK11" i="11"/>
  <c r="AZ18" i="11"/>
  <c r="AP10" i="21"/>
  <c r="AP21" i="20"/>
  <c r="BH20" i="16"/>
  <c r="BJ11" i="11"/>
  <c r="BH22" i="16"/>
  <c r="R10" i="21"/>
  <c r="BJ20"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S22" i="17"/>
  <c r="S25" i="17"/>
  <c r="BF20" i="11"/>
  <c r="AZ11" i="11"/>
  <c r="S16" i="16"/>
  <c r="S23" i="16" s="1"/>
  <c r="P16" i="17"/>
  <c r="P23" i="17" s="1"/>
  <c r="P31" i="17" s="1"/>
  <c r="BL20" i="11"/>
  <c r="Q20" i="11" s="1"/>
  <c r="BF12" i="11"/>
  <c r="BL16" i="11"/>
  <c r="Q16" i="11" s="1"/>
  <c r="BH25" i="16"/>
  <c r="BH21" i="11"/>
  <c r="BK20" i="11"/>
  <c r="AZ25" i="11"/>
  <c r="AZ30" i="11" s="1"/>
  <c r="BJ10" i="11"/>
  <c r="BK17" i="11"/>
  <c r="Q16" i="17"/>
  <c r="BM18" i="11"/>
  <c r="BF16" i="11"/>
  <c r="BH17" i="11"/>
  <c r="BL22" i="11"/>
  <c r="AQ12" i="21"/>
  <c r="BI22" i="11"/>
  <c r="BL19" i="11"/>
  <c r="BJ18" i="11"/>
  <c r="BM17" i="11"/>
  <c r="BF21" i="11"/>
  <c r="BF17" i="11"/>
  <c r="BL12" i="11"/>
  <c r="BK21" i="11"/>
  <c r="BI25" i="11"/>
  <c r="V13" i="11"/>
  <c r="BI19" i="11"/>
  <c r="AP22" i="20"/>
  <c r="BG16" i="11"/>
  <c r="BH13" i="11"/>
  <c r="BL13" i="11"/>
  <c r="BH18" i="11"/>
  <c r="BM16" i="11"/>
  <c r="AO28" i="17"/>
  <c r="BJ25" i="11"/>
  <c r="AZ16" i="11"/>
  <c r="AZ23" i="11" s="1"/>
  <c r="AZ26" i="11" s="1"/>
  <c r="BU16" i="17"/>
  <c r="BW19" i="20"/>
  <c r="X20" i="16"/>
  <c r="BU10" i="17"/>
  <c r="BU33" i="17" s="1"/>
  <c r="BW25" i="20"/>
  <c r="BU22" i="17"/>
  <c r="U13" i="17"/>
  <c r="BU20" i="17"/>
  <c r="BW29" i="20"/>
  <c r="BW22" i="20"/>
  <c r="BV29" i="16"/>
  <c r="BW21" i="20"/>
  <c r="BV9" i="16"/>
  <c r="AZ17" i="11"/>
  <c r="BG12" i="11"/>
  <c r="BI20" i="11"/>
  <c r="BI9" i="11"/>
  <c r="BL28" i="11"/>
  <c r="BL10" i="11"/>
  <c r="BH10" i="16"/>
  <c r="BH11" i="11"/>
  <c r="S18" i="17"/>
  <c r="BM9" i="11"/>
  <c r="BH12" i="16"/>
  <c r="L12" i="2"/>
  <c r="X10" i="21"/>
  <c r="X13" i="16"/>
  <c r="BJ22" i="11"/>
  <c r="BG10" i="11"/>
  <c r="V11" i="16"/>
  <c r="V25" i="11"/>
  <c r="BF10" i="11"/>
  <c r="V11" i="11"/>
  <c r="BM12" i="11"/>
  <c r="V9" i="11"/>
  <c r="BJ16" i="11"/>
  <c r="AP16" i="20"/>
  <c r="R25" i="14"/>
  <c r="V20" i="11"/>
  <c r="BL25" i="11"/>
  <c r="Q25" i="11" s="1"/>
  <c r="BG19" i="11"/>
  <c r="AZ9" i="11"/>
  <c r="BL29" i="11"/>
  <c r="T16" i="16"/>
  <c r="T23" i="16" s="1"/>
  <c r="T31" i="16" s="1"/>
  <c r="BW20" i="20"/>
  <c r="BV19" i="16"/>
  <c r="BV18" i="16"/>
  <c r="BW18" i="20"/>
  <c r="BV12" i="16"/>
  <c r="BW12" i="20"/>
  <c r="BV16" i="16"/>
  <c r="BW16" i="20"/>
  <c r="U10" i="17"/>
  <c r="BV10" i="16"/>
  <c r="BU18" i="17"/>
  <c r="V12" i="16"/>
  <c r="BU12" i="17"/>
  <c r="S28" i="17"/>
  <c r="T16" i="11"/>
  <c r="Q18" i="17"/>
  <c r="BH10" i="11"/>
  <c r="AQ10" i="21"/>
  <c r="AO29" i="17"/>
  <c r="S10" i="17"/>
  <c r="BI29" i="11"/>
  <c r="BG17" i="11"/>
  <c r="Q17" i="11" s="1"/>
  <c r="BM21" i="11"/>
  <c r="AO25" i="17"/>
  <c r="BH25" i="11"/>
  <c r="BK10" i="11"/>
  <c r="BK14" i="11" s="1"/>
  <c r="BI21" i="11"/>
  <c r="L10" i="2"/>
  <c r="L28" i="2"/>
  <c r="X21" i="20"/>
  <c r="L16" i="2"/>
  <c r="L17" i="2"/>
  <c r="L18" i="2"/>
  <c r="X16" i="16"/>
  <c r="X23" i="16" s="1"/>
  <c r="AA11" i="16"/>
  <c r="L9" i="2"/>
  <c r="V25" i="16"/>
  <c r="BJ17" i="11"/>
  <c r="BK22" i="11"/>
  <c r="BL17" i="11"/>
  <c r="BL23" i="11" s="1"/>
  <c r="BH22" i="11"/>
  <c r="X12" i="17"/>
  <c r="L22" i="2"/>
  <c r="X22" i="16"/>
  <c r="S16" i="17"/>
  <c r="S17" i="17"/>
  <c r="X19" i="16"/>
  <c r="L20" i="2"/>
  <c r="U9" i="17"/>
  <c r="U31" i="17" s="1"/>
  <c r="V10" i="16"/>
  <c r="V9" i="16"/>
  <c r="R22" i="14"/>
  <c r="R11" i="14"/>
  <c r="S18" i="14"/>
  <c r="V18" i="14" s="1"/>
  <c r="S13" i="14"/>
  <c r="V13" i="14" s="1"/>
  <c r="BH30" i="16"/>
  <c r="I19" i="12"/>
  <c r="BG30" i="13"/>
  <c r="G26" i="3"/>
  <c r="I11" i="12"/>
  <c r="I12" i="12"/>
  <c r="AB33" i="21"/>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N26" i="11"/>
  <c r="Q26" i="11" s="1"/>
  <c r="AK30" i="11"/>
  <c r="AG30" i="11"/>
  <c r="AG26" i="11"/>
  <c r="AI23" i="11"/>
  <c r="AI14" i="11"/>
  <c r="AE14" i="11"/>
  <c r="AU14" i="11"/>
  <c r="AP18" i="11"/>
  <c r="AT14" i="11"/>
  <c r="AV23" i="11"/>
  <c r="AV26" i="11" s="1"/>
  <c r="R14" i="11"/>
  <c r="R26" i="11"/>
  <c r="Y19" i="11"/>
  <c r="X26" i="11"/>
  <c r="Z14" i="11"/>
  <c r="AD14" i="11"/>
  <c r="AF23" i="11"/>
  <c r="AF14"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AO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12" i="11"/>
  <c r="H32" i="17"/>
  <c r="O32" i="20"/>
  <c r="AW32" i="11"/>
  <c r="AV32" i="21"/>
  <c r="AA31" i="11" l="1"/>
  <c r="S31" i="16"/>
  <c r="AZ31" i="11"/>
  <c r="AZ14" i="11"/>
  <c r="BJ23" i="11"/>
  <c r="R14" i="21"/>
  <c r="R31" i="2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Z32" i="21"/>
  <c r="E32" i="16"/>
  <c r="BM32" i="16"/>
  <c r="E32" i="21"/>
  <c r="L32" i="17"/>
  <c r="AL32" i="21"/>
  <c r="AB32" i="17"/>
  <c r="M32" i="21"/>
  <c r="V32" i="16"/>
  <c r="I32" i="12"/>
  <c r="F32" i="11"/>
  <c r="AD32" i="17"/>
  <c r="I32" i="16"/>
  <c r="BN32" i="16"/>
  <c r="AI32" i="16"/>
  <c r="AH32" i="17"/>
  <c r="F32" i="12"/>
  <c r="AR32" i="20"/>
  <c r="AB32" i="11"/>
  <c r="Z32" i="17"/>
  <c r="BI32" i="16"/>
  <c r="O32" i="11"/>
  <c r="H32" i="11"/>
  <c r="AH32" i="11"/>
  <c r="J32" i="17"/>
  <c r="AO32" i="17"/>
  <c r="AE32" i="11"/>
  <c r="AP32" i="21"/>
  <c r="AP32" i="16"/>
  <c r="Y32" i="17"/>
  <c r="O32" i="21"/>
  <c r="AO32" i="11"/>
  <c r="AW32" i="21"/>
  <c r="AZ32" i="16"/>
  <c r="Q32" i="16"/>
  <c r="Z32" i="16"/>
  <c r="V32" i="17"/>
  <c r="BS32" i="16"/>
  <c r="BC32" i="21"/>
  <c r="L32" i="11"/>
  <c r="H32" i="12"/>
  <c r="V32" i="11"/>
  <c r="P32" i="11"/>
  <c r="S32" i="16"/>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BE32" i="16"/>
  <c r="Q32" i="11"/>
  <c r="N32" i="17"/>
  <c r="U32" i="20"/>
  <c r="I32" i="11"/>
  <c r="AN32" i="21"/>
  <c r="Q32" i="21"/>
  <c r="AK32" i="17"/>
  <c r="AT32" i="20"/>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U32" i="11"/>
  <c r="AR32" i="17"/>
  <c r="X32" i="21"/>
  <c r="Y32" i="11"/>
  <c r="AB32" i="16"/>
  <c r="AG32" i="11"/>
  <c r="AE32" i="21"/>
  <c r="AD32" i="21"/>
  <c r="K32" i="21"/>
  <c r="AF32" i="17"/>
  <c r="AY32" i="16"/>
  <c r="BF32" i="16"/>
  <c r="AS32" i="17"/>
  <c r="X32" i="16"/>
  <c r="AY32" i="21"/>
  <c r="AL32" i="11"/>
  <c r="I32" i="21"/>
  <c r="AF32" i="21"/>
  <c r="K31" i="12" l="1"/>
  <c r="AQ32" i="17"/>
  <c r="AT32" i="21"/>
  <c r="AP32" i="11"/>
  <c r="AQ32" i="11"/>
  <c r="BL32" i="16"/>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<sst xmlns="http://schemas.openxmlformats.org/spreadsheetml/2006/main" count="2668" uniqueCount="1193">
  <si>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</si>
  <si>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</si>
  <si>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</si>
  <si>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</si>
  <si>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</si>
  <si>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</si>
  <si>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</si>
  <si>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</si>
  <si>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</si>
  <si>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</si>
  <si>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</si>
  <si>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</si>
  <si>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</si>
  <si>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</si>
  <si>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</si>
  <si>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</si>
  <si>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</si>
  <si>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</si>
  <si>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</si>
  <si>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</si>
  <si>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</si>
  <si>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</si>
  <si>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</si>
  <si>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</si>
  <si>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</si>
  <si>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</si>
  <si>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</si>
  <si>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</si>
  <si>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</si>
  <si>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</si>
  <si>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</si>
  <si>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</si>
  <si>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</si>
  <si>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</si>
  <si>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</si>
  <si>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</si>
  <si>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</si>
  <si>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</si>
  <si>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</si>
  <si>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</si>
  <si>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</si>
  <si>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</si>
  <si>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</si>
  <si>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</si>
  <si>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</si>
  <si>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</si>
  <si>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</si>
  <si>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</si>
  <si>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</si>
  <si>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</si>
  <si>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</si>
  <si>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</si>
  <si>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</si>
  <si>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</si>
  <si>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</si>
  <si>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</si>
  <si>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</si>
  <si>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</si>
  <si>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</si>
  <si>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</si>
  <si>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</si>
  <si>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</si>
  <si>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</si>
  <si>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</si>
  <si>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</si>
  <si>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</si>
  <si>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</si>
  <si>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</si>
  <si>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</si>
  <si>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</si>
  <si>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</si>
  <si>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</si>
  <si>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</si>
  <si>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</si>
  <si>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</si>
  <si>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</si>
  <si>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</si>
  <si>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</si>
  <si>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</si>
  <si>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</si>
  <si>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</si>
  <si>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</si>
  <si>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</si>
  <si>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</si>
  <si>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</si>
  <si>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</si>
  <si>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</si>
  <si>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</si>
  <si>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</si>
  <si>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</si>
  <si>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</si>
  <si>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</si>
  <si>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</si>
  <si>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</si>
  <si>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</si>
  <si>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</si>
  <si>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</si>
  <si>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</si>
  <si>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</si>
  <si>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</si>
  <si>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</si>
  <si>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</si>
  <si>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</si>
  <si>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</si>
  <si>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</si>
  <si>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</si>
  <si>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</si>
  <si>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</si>
  <si>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</si>
  <si>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</si>
  <si>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</si>
  <si>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</si>
  <si>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</si>
  <si>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</si>
  <si>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</si>
  <si>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</si>
  <si>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</si>
  <si>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</si>
  <si>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</si>
  <si>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</si>
  <si>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</si>
  <si>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</si>
  <si>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</si>
  <si>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</si>
  <si>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</si>
  <si>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</si>
  <si>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</si>
  <si>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</si>
  <si>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</si>
  <si>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</si>
  <si>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</si>
  <si>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</si>
  <si>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</si>
  <si>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</si>
  <si>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</si>
  <si>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</si>
  <si>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</si>
  <si>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</si>
  <si>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</si>
  <si>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</si>
  <si>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</si>
  <si>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</si>
  <si>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</si>
  <si>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</si>
  <si>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</si>
  <si>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</si>
  <si>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</si>
  <si>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</si>
  <si>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</si>
  <si>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</si>
  <si>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</si>
  <si>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</si>
  <si>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</si>
  <si>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</si>
  <si>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</si>
  <si>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</si>
  <si>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</si>
  <si>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</si>
  <si>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</si>
  <si>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</si>
  <si>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</si>
  <si>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</si>
  <si>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</si>
  <si>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</si>
  <si>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</si>
  <si>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</si>
  <si>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</si>
  <si>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</si>
  <si>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</si>
  <si>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</si>
  <si>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</si>
  <si>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</si>
  <si>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</si>
  <si>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</si>
  <si>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</si>
  <si>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</si>
  <si>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</si>
  <si>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</si>
  <si>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</si>
  <si>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</si>
  <si>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</si>
  <si>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</si>
  <si>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</si>
  <si>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</si>
  <si>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</si>
  <si>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</si>
  <si>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</si>
  <si>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</si>
  <si>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</si>
  <si>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</si>
  <si>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</si>
  <si>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</si>
  <si>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</si>
  <si>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</si>
  <si>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</si>
  <si>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</si>
  <si>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</si>
  <si>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</si>
  <si>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</si>
  <si>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</si>
  <si>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</si>
  <si>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</si>
  <si>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</si>
  <si>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</si>
  <si>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</si>
  <si>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</si>
  <si>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</si>
  <si>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</si>
  <si>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</si>
  <si>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</si>
  <si>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</si>
  <si>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</si>
  <si>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</si>
  <si>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</si>
  <si>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</si>
  <si>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</si>
  <si>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</si>
  <si>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</si>
  <si>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</si>
  <si>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</si>
  <si>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</si>
  <si>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</si>
  <si>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</si>
  <si>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</si>
  <si>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</si>
  <si>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</si>
  <si>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</si>
  <si>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</si>
  <si>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</si>
  <si>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</si>
  <si>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</si>
  <si>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</si>
  <si>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</si>
  <si>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</si>
  <si>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</si>
  <si>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</si>
  <si>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</si>
  <si>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</si>
  <si>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</si>
  <si>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</si>
  <si>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</si>
  <si>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</si>
  <si>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</si>
  <si>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</si>
  <si>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</si>
  <si>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</si>
  <si>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</si>
  <si>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</si>
  <si>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</si>
  <si>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</si>
  <si>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</si>
  <si>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</si>
  <si>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</si>
  <si>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</si>
  <si>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</si>
  <si>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</si>
  <si>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</si>
  <si>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</si>
  <si>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</si>
  <si>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</si>
  <si>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</si>
  <si>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</si>
  <si>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</si>
  <si>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</si>
  <si>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</si>
  <si>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</si>
  <si>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</si>
  <si>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</si>
  <si>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</si>
  <si>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</si>
  <si>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</si>
  <si>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</si>
  <si>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</si>
  <si>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</si>
  <si>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</si>
  <si>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</si>
  <si>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</si>
  <si>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</si>
  <si>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</si>
  <si>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</si>
  <si>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</si>
  <si>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</si>
  <si>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</si>
  <si>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</si>
  <si>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</si>
  <si>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</si>
  <si>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</si>
  <si>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</si>
  <si>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</si>
  <si>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</si>
  <si>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</si>
  <si>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</si>
  <si>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</si>
  <si>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</si>
  <si>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</si>
  <si>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</si>
  <si>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</si>
  <si>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</si>
  <si>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</si>
  <si>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</si>
  <si>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</si>
  <si>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</si>
  <si>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</si>
  <si>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</si>
  <si>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</si>
  <si>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</si>
  <si>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</si>
  <si>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</si>
  <si>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</si>
  <si>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</si>
  <si>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</si>
  <si>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</si>
  <si>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</si>
  <si>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</si>
  <si>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</si>
  <si>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</si>
  <si>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</si>
  <si>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</si>
  <si>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</si>
  <si>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</si>
  <si>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</si>
  <si>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</si>
  <si>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</si>
  <si>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</si>
  <si>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</si>
  <si>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</si>
  <si>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</si>
  <si>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</si>
  <si>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</si>
  <si>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</si>
  <si>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</si>
  <si>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</si>
  <si>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</si>
  <si>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</si>
  <si>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</si>
  <si>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</si>
  <si>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</si>
  <si>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</si>
  <si>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</si>
  <si>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</si>
  <si>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</si>
  <si>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</si>
  <si>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</si>
  <si>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</si>
  <si>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</si>
  <si>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</si>
  <si>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</si>
  <si>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</si>
  <si>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</si>
  <si>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</si>
  <si>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</si>
  <si>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</si>
  <si>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</si>
  <si>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</si>
  <si>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</si>
  <si>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</si>
  <si>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</si>
  <si>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</si>
  <si>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</si>
  <si>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</si>
  <si>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</si>
  <si>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</si>
  <si>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</si>
  <si>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</si>
  <si>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</si>
  <si>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</si>
  <si>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</si>
  <si>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</si>
  <si>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</si>
  <si>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</si>
  <si>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</si>
  <si>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</si>
  <si>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</si>
  <si>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</si>
  <si>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</si>
  <si>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</si>
  <si>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</si>
  <si>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</si>
  <si>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</si>
  <si>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</si>
  <si>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</si>
  <si>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</si>
  <si>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</si>
  <si>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</si>
  <si>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</si>
  <si>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</si>
  <si>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</si>
  <si>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</si>
  <si>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</si>
  <si>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</si>
  <si>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</si>
  <si>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</si>
  <si>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</si>
  <si>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</si>
  <si>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</si>
  <si>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</si>
  <si>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</si>
  <si>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</si>
  <si>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</si>
  <si>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</si>
  <si>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</si>
  <si>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</si>
  <si>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</si>
  <si>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</si>
  <si>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</si>
  <si>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</si>
  <si>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</si>
  <si>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</si>
  <si>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</si>
  <si>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</si>
  <si>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</si>
  <si>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</si>
  <si>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</si>
  <si>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</si>
  <si>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</si>
  <si>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</si>
  <si>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</si>
  <si>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</si>
  <si>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</si>
  <si>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</si>
  <si>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</si>
  <si>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</si>
  <si>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</si>
  <si>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</si>
  <si>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</si>
  <si>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</si>
  <si>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</si>
  <si>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</si>
  <si>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</si>
  <si>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</si>
  <si>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</si>
  <si>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</si>
  <si>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</si>
  <si>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</si>
  <si>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</si>
  <si>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</si>
  <si>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</si>
  <si>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</si>
  <si>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</si>
  <si>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</si>
  <si>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</si>
  <si>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</si>
  <si>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</si>
  <si>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</si>
  <si>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</si>
  <si>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</si>
  <si>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</si>
  <si>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</si>
  <si>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</si>
  <si>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</si>
  <si>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</si>
  <si>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</si>
  <si>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</si>
  <si>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</si>
  <si>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</si>
  <si>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</si>
  <si>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</si>
  <si>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</si>
  <si>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</si>
  <si>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</si>
  <si>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</si>
  <si>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</si>
  <si>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</si>
  <si>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</si>
  <si>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</si>
  <si>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</si>
  <si>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</si>
  <si>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</si>
  <si>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</si>
  <si>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</si>
  <si>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</si>
  <si>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</si>
  <si>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</si>
  <si>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</si>
  <si>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</si>
  <si>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</si>
  <si>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</si>
  <si>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</si>
  <si>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</si>
  <si>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</si>
  <si>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</si>
  <si>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</si>
  <si>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</si>
  <si>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</si>
  <si>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</si>
  <si>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</si>
  <si>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</si>
  <si>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</si>
  <si>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</si>
  <si>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</si>
  <si>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</si>
  <si>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</si>
  <si>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</si>
  <si>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</si>
  <si>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</si>
  <si>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</si>
  <si>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</si>
  <si>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</si>
  <si>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</si>
  <si>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</si>
  <si>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</si>
  <si>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</si>
  <si>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</si>
  <si>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</si>
  <si>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</si>
  <si>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</si>
  <si>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</si>
  <si>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</si>
  <si>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</si>
  <si>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</si>
  <si>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</si>
  <si>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</si>
  <si>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</si>
  <si>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</si>
  <si>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</si>
  <si>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</si>
  <si>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</si>
  <si>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</si>
  <si>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</si>
  <si>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</si>
  <si>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</si>
  <si>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</si>
  <si>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</si>
  <si>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</si>
  <si>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</si>
  <si>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</si>
  <si>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</si>
  <si>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</si>
  <si>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</si>
  <si>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</si>
  <si>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</si>
  <si>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</si>
  <si>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</si>
  <si>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</si>
  <si>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</si>
  <si>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</si>
  <si>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</si>
  <si>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</si>
  <si>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</si>
  <si>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</si>
  <si>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</si>
  <si>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</si>
  <si>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</si>
  <si>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</si>
  <si>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</si>
  <si>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</si>
  <si>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</si>
  <si>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</si>
  <si>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</si>
  <si>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</si>
  <si>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</si>
  <si>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</si>
  <si>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</si>
  <si>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</si>
  <si>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</si>
  <si>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</si>
  <si>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</si>
  <si>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</si>
  <si>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</si>
  <si>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</si>
  <si>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</si>
  <si>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</si>
  <si>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</si>
  <si>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</si>
  <si>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</si>
  <si>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</si>
  <si>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</si>
  <si>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</si>
  <si>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</si>
  <si>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</si>
  <si>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</si>
  <si>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</si>
  <si>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</si>
  <si>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</si>
  <si>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</si>
  <si>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</si>
  <si>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</si>
  <si>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</si>
  <si>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</si>
  <si>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</si>
  <si>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</si>
  <si>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</si>
  <si>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</si>
  <si>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</si>
  <si>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</si>
  <si>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</si>
  <si>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</si>
  <si>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</si>
  <si>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</si>
  <si>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</si>
  <si>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</si>
  <si>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</si>
  <si>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</si>
  <si>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</si>
  <si>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</si>
  <si>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</si>
  <si>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</si>
  <si>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</si>
  <si>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</si>
  <si>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</si>
  <si>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</si>
  <si>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</si>
  <si>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</si>
  <si>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</si>
  <si>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</si>
  <si>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</si>
  <si>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</si>
  <si>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</si>
  <si>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</si>
  <si>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</si>
  <si>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</si>
  <si>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</si>
  <si>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</si>
  <si>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</si>
  <si>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</si>
  <si>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</si>
  <si>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</si>
  <si>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</si>
  <si>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</si>
  <si>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</si>
  <si>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</si>
  <si>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</si>
  <si>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</si>
  <si>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</si>
  <si>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</si>
  <si>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</si>
  <si>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</si>
  <si>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</si>
  <si>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</si>
  <si>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</si>
  <si>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</si>
  <si>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</si>
  <si>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</si>
  <si>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</si>
  <si>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</si>
  <si>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</si>
  <si>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</si>
  <si>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</si>
  <si>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</si>
  <si>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</si>
  <si>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</si>
  <si>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</si>
  <si>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</si>
  <si>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</si>
  <si>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</si>
  <si>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</si>
  <si>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</si>
  <si>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</si>
  <si>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</si>
  <si>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</si>
  <si>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</si>
  <si>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</si>
  <si>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</si>
  <si>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</si>
  <si>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</si>
  <si>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</si>
  <si>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</si>
  <si>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</si>
  <si>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</si>
  <si>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</si>
  <si>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</si>
  <si>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</si>
  <si>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</si>
  <si>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</si>
  <si>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</si>
  <si>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</si>
  <si>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</si>
  <si>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</si>
  <si>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</si>
  <si>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</si>
  <si>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</si>
  <si>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</si>
  <si>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</si>
  <si>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</si>
  <si>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</si>
  <si>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</si>
  <si>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</si>
  <si>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</si>
  <si>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</si>
  <si>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</si>
  <si>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</si>
  <si>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</si>
  <si>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</si>
  <si>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</si>
  <si>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</si>
  <si>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</si>
  <si>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</si>
  <si>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</si>
  <si>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</si>
  <si>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</si>
  <si>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</si>
  <si>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</si>
  <si>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</si>
  <si>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</si>
  <si>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</si>
  <si>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</si>
  <si>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</si>
  <si>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</si>
  <si>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</si>
  <si>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</si>
  <si>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</si>
  <si>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</si>
  <si>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</si>
  <si>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</si>
  <si>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</si>
  <si>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</si>
  <si>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</si>
  <si>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</si>
  <si>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</si>
  <si>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</si>
  <si>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</si>
  <si>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</si>
  <si>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</si>
  <si>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</si>
  <si>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</si>
  <si>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</si>
  <si>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</si>
  <si>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</si>
  <si>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</si>
  <si>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</si>
  <si>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</si>
  <si>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</si>
  <si>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</si>
  <si>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</si>
  <si>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</si>
  <si>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</si>
  <si>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</si>
  <si>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</si>
  <si>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</si>
  <si>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</si>
  <si>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</si>
  <si>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</si>
  <si>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</si>
  <si>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</si>
  <si>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</si>
  <si>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</si>
  <si>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</si>
  <si>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</si>
  <si>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</si>
  <si>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</si>
  <si>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</si>
  <si>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</si>
  <si>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</si>
  <si>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</si>
  <si>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</si>
  <si>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</si>
  <si>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</si>
  <si>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</si>
  <si>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</si>
  <si>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</si>
  <si>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</si>
  <si>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</si>
  <si>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</si>
  <si>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</si>
  <si>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</si>
  <si>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</si>
  <si>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</si>
  <si>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</si>
  <si>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</si>
  <si>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</si>
  <si>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</si>
  <si>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</si>
  <si>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</si>
  <si>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</si>
  <si>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</si>
  <si>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</si>
  <si>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</si>
  <si>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</si>
  <si>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</si>
  <si>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</si>
  <si>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</si>
  <si>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</si>
  <si>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</si>
  <si>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</si>
  <si>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</si>
  <si>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</si>
  <si>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</si>
  <si>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</si>
  <si>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</si>
  <si>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</si>
  <si>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</si>
  <si>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</si>
  <si>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</si>
  <si>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</si>
  <si>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</si>
  <si>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</si>
  <si>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</si>
  <si>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</si>
  <si>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</si>
  <si>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</si>
  <si>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</si>
  <si>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</si>
  <si>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</si>
  <si>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</si>
  <si>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</si>
  <si>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</si>
  <si>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</si>
  <si>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</si>
  <si>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</si>
  <si>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</si>
  <si>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</si>
  <si>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</si>
  <si>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</si>
  <si>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</si>
  <si>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</si>
  <si>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</si>
  <si>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</si>
  <si>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</si>
  <si>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</si>
  <si>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</si>
  <si>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</si>
  <si>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</si>
  <si>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</si>
  <si>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</si>
  <si>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</si>
  <si>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</si>
  <si>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</si>
  <si>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</si>
  <si>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</si>
  <si>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</si>
  <si>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</si>
  <si>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</si>
  <si>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</si>
  <si>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</si>
  <si>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</si>
  <si>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</si>
  <si>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</si>
  <si>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</si>
  <si>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</si>
  <si>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</si>
  <si>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</si>
  <si>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</si>
  <si>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</si>
  <si>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</si>
  <si>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</si>
  <si>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</si>
  <si>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</si>
  <si>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</si>
  <si>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</si>
  <si>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</si>
  <si>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</si>
  <si>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</si>
  <si>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</si>
  <si>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</si>
  <si>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</si>
  <si>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</si>
  <si>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</si>
  <si>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</si>
  <si>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</si>
  <si>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</si>
  <si>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</si>
  <si>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</si>
  <si>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</si>
  <si>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</si>
  <si>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</si>
  <si>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</si>
  <si>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</si>
  <si>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</si>
  <si>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</si>
  <si>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</si>
  <si>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</si>
  <si>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</si>
  <si>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</si>
  <si>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</si>
  <si>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</si>
  <si>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</si>
  <si>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</si>
  <si>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</si>
  <si>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</si>
  <si>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</si>
  <si>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</si>
  <si>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</si>
  <si>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</si>
  <si>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</si>
  <si>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</si>
  <si>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</si>
  <si>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</si>
  <si>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</si>
  <si>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</si>
  <si>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</si>
  <si>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</si>
  <si>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</si>
  <si>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</si>
  <si>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</si>
  <si>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</si>
  <si>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</si>
  <si>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</si>
  <si>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</si>
  <si>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</si>
  <si>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</si>
  <si>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</si>
  <si>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</si>
  <si>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</si>
  <si>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</si>
  <si>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</si>
  <si>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</si>
  <si>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</si>
  <si>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</si>
  <si>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</si>
  <si>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</si>
  <si>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</si>
  <si>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</si>
  <si>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</si>
  <si>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</si>
  <si>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</si>
  <si>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</si>
  <si>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</si>
  <si>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</si>
  <si>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</si>
  <si>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</si>
  <si>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</si>
  <si>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</si>
  <si>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</si>
  <si>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</si>
  <si>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</si>
  <si>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</si>
  <si>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</si>
  <si>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</si>
  <si>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</si>
  <si>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</si>
  <si>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</si>
  <si>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</si>
  <si>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</si>
  <si>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</si>
  <si>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</si>
  <si>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</si>
  <si>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</si>
  <si>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</si>
  <si>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</si>
  <si>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</si>
  <si>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</si>
  <si>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</si>
  <si>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</si>
  <si>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</si>
  <si>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</si>
  <si>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</si>
  <si>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</si>
  <si>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</si>
  <si>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</si>
  <si>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</si>
  <si>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</si>
  <si>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</si>
  <si>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</si>
  <si>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</si>
  <si>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</si>
  <si>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</si>
  <si>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</si>
  <si>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</si>
  <si>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</si>
  <si>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</si>
  <si>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</si>
  <si>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</si>
  <si>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</si>
  <si>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</si>
  <si>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</si>
  <si>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</si>
  <si>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</si>
  <si>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</si>
  <si>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</si>
  <si>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</si>
  <si>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</si>
  <si>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</si>
  <si>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</si>
  <si>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</si>
  <si>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</si>
  <si>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</si>
  <si>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</si>
  <si>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</si>
  <si>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</si>
  <si>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</si>
  <si>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</si>
  <si>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</si>
  <si>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</si>
  <si>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</si>
  <si>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</si>
  <si>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</si>
  <si>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</si>
  <si>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</si>
  <si>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</si>
  <si>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</si>
  <si>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</si>
  <si>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</si>
  <si>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</si>
  <si>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</si>
  <si>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</si>
  <si>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</si>
  <si>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</si>
  <si>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</si>
  <si>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</si>
  <si>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</si>
  <si>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</si>
  <si>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</si>
  <si>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</si>
  <si>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</si>
  <si>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</si>
  <si>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</si>
  <si>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</si>
  <si>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</si>
  <si>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</si>
  <si>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</si>
  <si>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</si>
  <si>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</si>
  <si>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</si>
  <si>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</si>
  <si>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</si>
  <si>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</si>
  <si>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</si>
  <si>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</si>
  <si>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</si>
  <si>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</si>
  <si>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</si>
  <si>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</si>
  <si>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</si>
  <si>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</si>
  <si>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</si>
  <si>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</si>
  <si>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</si>
  <si>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</si>
  <si>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</si>
  <si>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</si>
  <si>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</si>
  <si>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</si>
  <si>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</si>
  <si>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</si>
  <si>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</si>
  <si>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</si>
  <si>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</si>
  <si>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</si>
  <si>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</si>
  <si>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</si>
  <si>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</si>
  <si>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</si>
  <si>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</si>
  <si>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</si>
  <si>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</si>
  <si>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</si>
  <si>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</si>
  <si>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</si>
  <si>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</si>
  <si>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</si>
  <si>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</si>
  <si>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</si>
  <si>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</si>
  <si>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</si>
  <si>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</si>
  <si>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</si>
  <si>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</si>
  <si>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</si>
  <si>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</si>
  <si>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</si>
  <si>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</si>
  <si>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</si>
  <si>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</si>
  <si>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</si>
  <si>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</si>
  <si>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</si>
  <si>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</si>
  <si>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</si>
  <si>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</si>
  <si>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</si>
  <si>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</si>
  <si>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</si>
  <si>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</si>
  <si>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</si>
  <si>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</si>
  <si>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</si>
  <si>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</si>
  <si>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</si>
  <si>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</si>
  <si>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</si>
  <si>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</si>
  <si>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</si>
  <si>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</si>
  <si>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</si>
  <si>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</si>
  <si>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</si>
  <si>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</si>
  <si>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</si>
  <si>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</si>
  <si>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</si>
  <si>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</si>
  <si>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</si>
  <si>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</si>
  <si>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</si>
  <si>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</si>
  <si>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</si>
  <si>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</si>
  <si>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</si>
  <si>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</si>
  <si>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</si>
  <si>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</si>
  <si>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</si>
  <si>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</si>
  <si>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</si>
  <si>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</si>
  <si>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</si>
  <si>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</si>
  <si>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</si>
  <si>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</si>
  <si>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</si>
  <si>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</si>
  <si>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</si>
  <si>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</si>
  <si>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</si>
  <si>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</si>
  <si>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</si>
  <si>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</si>
  <si>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</si>
  <si>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</si>
  <si>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</si>
  <si>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</si>
  <si>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</si>
  <si>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</si>
  <si>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</si>
  <si>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</si>
  <si>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</si>
  <si>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</si>
  <si>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</si>
  <si>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</si>
  <si>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</si>
  <si>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</si>
  <si>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</si>
  <si>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</si>
  <si>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</si>
  <si>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</si>
  <si>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</si>
  <si>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</si>
  <si>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</si>
  <si>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</si>
  <si>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</si>
  <si>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</si>
  <si>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</si>
  <si>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</si>
  <si>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</si>
  <si>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</si>
  <si>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</si>
  <si>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</si>
  <si>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</si>
  <si>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</si>
  <si>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</si>
  <si>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</si>
  <si>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</si>
  <si>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</si>
  <si>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</si>
  <si>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</si>
  <si>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</si>
  <si>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</si>
  <si>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</si>
  <si>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</si>
  <si>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</si>
  <si>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</si>
  <si>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</si>
  <si>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</si>
  <si>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</si>
  <si>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</si>
  <si>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</si>
  <si>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</si>
  <si>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</si>
  <si>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</si>
  <si>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</si>
  <si>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</si>
  <si>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</si>
  <si>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</si>
  <si>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</si>
  <si>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</si>
  <si>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</si>
  <si>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</si>
  <si>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</si>
  <si>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</si>
  <si>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</si>
  <si>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</si>
  <si>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</si>
  <si>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</si>
  <si>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</si>
  <si>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</si>
  <si>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</si>
  <si>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</si>
  <si>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</si>
  <si>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</si>
  <si>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</si>
  <si>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</si>
  <si>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</si>
  <si>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</si>
  <si>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</si>
  <si>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</si>
  <si>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</si>
  <si>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</si>
  <si>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</si>
  <si>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CATALUÑA</t>
  </si>
  <si>
    <t>Provincias</t>
  </si>
  <si>
    <t>BARCELONA</t>
  </si>
  <si>
    <t>Resumenes por Partidos Judiciales</t>
  </si>
  <si>
    <t>TERRASSA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</si>
</sst>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3</v>
      </c>
      <c r="E5" s="418"/>
      <c r="F5" s="3"/>
      <c r="H5" t="s">
        <v>546</v>
      </c>
      <c r="Q5" s="391">
        <v>3</v>
      </c>
      <c r="R5" s="391">
        <v>2</v>
      </c>
      <c r="S5" t="b">
        <f>AND(Q5&gt;=TrimIni,Q5&lt;=TrimFin)</f>
        <v>1</v>
      </c>
    </row>
    <row r="6" spans="1:19" ht="15">
      <c r="A6" s="419"/>
      <c r="B6" s="418"/>
      <c r="C6" s="416" t="s">
        <v>278</v>
      </c>
      <c r="D6" s="417">
        <v>3</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5.5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9IgMjh/uVxLvqv86GeV2nMCc9BqZYi5exX4sCnTDEDrKAmnycbxR/vJStd8x3K71Aq4sYDe4VXScXOS99kI3xw==" saltValue="8lB2VIMWiA0Niz0q7jGHM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3 al 3</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7</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32.642726440988106</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72</v>
      </c>
      <c r="D10" s="239">
        <f>IF(ISNUMBER(Datos!I10),Datos!I10," - ")</f>
        <v>72</v>
      </c>
      <c r="E10" s="240">
        <f>IF(ISNUMBER(Datos!J10),Datos!J10," - ")</f>
        <v>26</v>
      </c>
      <c r="F10" s="240">
        <f>IF(ISNUMBER(Datos!K10),Datos!K10," - ")</f>
        <v>31</v>
      </c>
      <c r="G10" s="1390" t="str">
        <f>IF(Datos!E10&lt;&gt;"",Datos!E10,Datos!D10)</f>
        <v>37</v>
      </c>
      <c r="H10" s="241">
        <f>IF(ISNUMBER(Datos!L10),Datos!L10," - ")</f>
        <v>67</v>
      </c>
      <c r="I10" s="1400" t="str">
        <f>IF(ISNUMBER(Datos!AS10/Datos!BM10),Datos!AS10/Datos!BM10," - ")</f>
        <v xml:space="preserve"> - </v>
      </c>
      <c r="J10" s="1401">
        <f>IF(ISNUMBER(Datos!BY10/Datos!CN10),Datos!BY10/Datos!CN10," - ")</f>
        <v>0</v>
      </c>
      <c r="K10" s="244">
        <f t="shared" ref="K10:K13" si="1">IF(ISNUMBER((E10-F10)/C10),(E10-F10)/C10," - ")</f>
        <v>-6.9444444444444448E-2</v>
      </c>
      <c r="L10" s="1402">
        <f>IF(ISNUMBER(NºAsuntos!I10/NºAsuntos!G10),(NºAsuntos!I10/NºAsuntos!G10)*11," - ")</f>
        <v>23.774193548387096</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2</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36.57068062827225</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t="str">
        <f>IF(ISNUMBER(NºAsuntos!I12/NºAsuntos!G12),(NºAsuntos!I12/NºAsuntos!G12)*11," - ")</f>
        <v xml:space="preserve"> - </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72</v>
      </c>
      <c r="D14" s="1407">
        <f>SUBTOTAL(9,D9:D13)</f>
        <v>72</v>
      </c>
      <c r="E14" s="1408">
        <f>SUBTOTAL(9,E9:E13)</f>
        <v>26</v>
      </c>
      <c r="F14" s="1409">
        <f>SUBTOTAL(9,F9:F13)</f>
        <v>31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1650</v>
      </c>
      <c r="D16" s="239">
        <f>IF(ISNUMBER(IF(D_I="SI",Datos!I16,Datos!I16+Datos!AC16)),IF(D_I="SI",Datos!I16,Datos!I16+Datos!AC16)," - ")</f>
        <v>1590</v>
      </c>
      <c r="E16" s="240">
        <f>IF(ISNUMBER(IF(D_I="SI",Datos!J16,Datos!J16+Datos!AD16)),IF(D_I="SI",Datos!J16,Datos!J16+Datos!AD16)," - ")</f>
        <v>1873</v>
      </c>
      <c r="F16" s="240">
        <f>IF(ISNUMBER(IF(D_I="SI",Datos!K16,Datos!K16+Datos!AE16)),IF(D_I="SI",Datos!K16,Datos!K16+Datos!AE16)," - ")</f>
        <v>1771</v>
      </c>
      <c r="G16" s="1390" t="str">
        <f>IF(Datos!E16&lt;&gt;"",Datos!E16,Datos!D16)</f>
        <v>03</v>
      </c>
      <c r="H16" s="241">
        <f>IF(ISNUMBER(IF(D_I="SI",Datos!L16,Datos!L16+Datos!AF16)),IF(D_I="SI",Datos!L16,Datos!L16+Datos!AF16)," - ")</f>
        <v>1752</v>
      </c>
      <c r="I16" s="1400" t="str">
        <f>IF(ISNUMBER(Datos!AS16/Datos!BM16),Datos!AS16/Datos!BM16," - ")</f>
        <v xml:space="preserve"> - </v>
      </c>
      <c r="J16" s="1401">
        <f>IF(ISNUMBER(Datos!BY16/Datos!CN16),Datos!BY16/Datos!CN16," - ")</f>
        <v>0</v>
      </c>
      <c r="K16" s="244">
        <f t="shared" ref="K16:K22" si="3">IF(ISNUMBER((E16-F16)/C16),(E16-F16)/C16," - ")</f>
        <v>6.1818181818181821E-2</v>
      </c>
      <c r="L16" s="1402">
        <f>IF(ISNUMBER(NºAsuntos!I16/NºAsuntos!G16),(NºAsuntos!I16/NºAsuntos!G16)*11," - ")</f>
        <v>10.881987577639752</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t="str">
        <f t="shared" si="2"/>
        <v xml:space="preserve"> - </v>
      </c>
      <c r="D17" s="239" t="str">
        <f>IF(ISNUMBER(IF(D_I="SI",Datos!I17,Datos!I17+Datos!AC17)),IF(D_I="SI",Datos!I17,Datos!I17+Datos!AC17)," - ")</f>
        <v xml:space="preserve"> - </v>
      </c>
      <c r="E17" s="240" t="str">
        <f>IF(ISNUMBER(IF(D_I="SI",Datos!J17,Datos!J17+Datos!AD17)),IF(D_I="SI",Datos!J17,Datos!J17+Datos!AD17)," - ")</f>
        <v xml:space="preserve"> - </v>
      </c>
      <c r="F17" s="240" t="str">
        <f>IF(ISNUMBER(IF(D_I="SI",Datos!K17,Datos!K17+Datos!AE17)),IF(D_I="SI",Datos!K17,Datos!K17+Datos!AE17)," - ")</f>
        <v xml:space="preserve"> - </v>
      </c>
      <c r="G17" s="1390" t="str">
        <f>IF(Datos!E17&lt;&gt;"",Datos!E17,Datos!D17)</f>
        <v>04</v>
      </c>
      <c r="H17" s="241" t="str">
        <f>IF(ISNUMBER(IF(D_I="SI",Datos!L17,Datos!L17+Datos!AF17)),IF(D_I="SI",Datos!L17,Datos!L17+Datos!AF17)," - ")</f>
        <v xml:space="preserve"> - </v>
      </c>
      <c r="I17" s="1400" t="str">
        <f>IF(ISNUMBER(Datos!AS17/Datos!BM17),Datos!AS17/Datos!BM17," - ")</f>
        <v xml:space="preserve"> - </v>
      </c>
      <c r="J17" s="1401">
        <f>IF(ISNUMBER(Datos!BY17/Datos!CN17),Datos!BY17/Datos!CN17," - ")</f>
        <v>0</v>
      </c>
      <c r="K17" s="244" t="str">
        <f t="shared" si="3"/>
        <v xml:space="preserve"> - </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125</v>
      </c>
      <c r="D18" s="239">
        <f>IF(ISNUMBER(IF(D_I="SI",Datos!I18,Datos!I18+Datos!AC18)),IF(D_I="SI",Datos!I18,Datos!I18+Datos!AC18)," - ")</f>
        <v>125</v>
      </c>
      <c r="E18" s="240">
        <f>IF(ISNUMBER(IF(D_I="SI",Datos!J18,Datos!J18+Datos!AD18)),IF(D_I="SI",Datos!J18,Datos!J18+Datos!AD18)," - ")</f>
        <v>227</v>
      </c>
      <c r="F18" s="240">
        <f>IF(ISNUMBER(IF(D_I="SI",Datos!K18,Datos!K18+Datos!AE18)),IF(D_I="SI",Datos!K18,Datos!K18+Datos!AE18)," - ")</f>
        <v>211</v>
      </c>
      <c r="G18" s="1390" t="str">
        <f>IF(Datos!E18&lt;&gt;"",Datos!E18,Datos!D18)</f>
        <v>37</v>
      </c>
      <c r="H18" s="241">
        <f>IF(ISNUMBER(IF(D_I="SI",Datos!L18,Datos!L18+Datos!AF18)),IF(D_I="SI",Datos!L18,Datos!L18+Datos!AF18)," - ")</f>
        <v>141</v>
      </c>
      <c r="I18" s="1400" t="str">
        <f>IF(ISNUMBER(Datos!AS18/Datos!BM18),Datos!AS18/Datos!BM18," - ")</f>
        <v xml:space="preserve"> - </v>
      </c>
      <c r="J18" s="1401" t="str">
        <f>IF(ISNUMBER((Datos!BY18+Datos!BZ18)/Datos!CN18),(Datos!BY18+Datos!BZ18)/Datos!CN18," - ")</f>
        <v xml:space="preserve"> - </v>
      </c>
      <c r="K18" s="244">
        <f t="shared" si="3"/>
        <v>0.128</v>
      </c>
      <c r="L18" s="1402">
        <f>IF(ISNUMBER(NºAsuntos!I18/NºAsuntos!G18),(NºAsuntos!I18/NºAsuntos!G18)*11," - ")</f>
        <v>7.3507109004739339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1775</v>
      </c>
      <c r="D23" s="1407">
        <f>SUBTOTAL(9,D16:D22)</f>
        <v>1715</v>
      </c>
      <c r="E23" s="1408">
        <f>SUBTOTAL(9,E16:E22)</f>
        <v>2100</v>
      </c>
      <c r="F23" s="1408">
        <f>SUBTOTAL(9,F16:F22)</f>
        <v>1982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1847</v>
      </c>
      <c r="D31" s="1435">
        <f>SUBTOTAL(9,D9:D30)</f>
        <v>1787</v>
      </c>
      <c r="E31" s="1436">
        <f>SUBTOTAL(9,E9:E30)</f>
        <v>2126</v>
      </c>
      <c r="F31" s="1436">
        <f>SUBTOTAL(9,F9:F30)</f>
        <v>2013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b3N7miquA6k5AOR2yicJ0GFjUd8MbPL+s4jJnzbIrQ/5Do1ffDovItOR8PLt4Nn/MoKKoHCjGMcrDRyHyx66sA==" saltValue="RfCEAZswdsTz3Mx988814g=="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6FBtNlndRgnJrXOl+TflygG8IEciJeSdW1n2ol0Tinz18836cTbbYrJ5vFgRVEY+i97JlA5Gld/D4qMRou5u7Q==" saltValue="FYtCZ9rXa5yQRE4KhzGM0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v>6107</v>
      </c>
      <c r="J9" s="194">
        <v>2338</v>
      </c>
      <c r="K9" s="194">
        <v>2082</v>
      </c>
      <c r="L9" s="194">
        <v>6363</v>
      </c>
      <c r="M9" s="194">
        <v>453</v>
      </c>
      <c r="N9" s="194">
        <v>992</v>
      </c>
      <c r="O9" s="194">
        <v>1079</v>
      </c>
      <c r="P9" s="194">
        <v>640</v>
      </c>
      <c r="Q9" s="194">
        <v>1797</v>
      </c>
      <c r="R9" s="194">
        <v>12782</v>
      </c>
      <c r="S9" s="194">
        <v>5460</v>
      </c>
      <c r="T9" s="194">
        <v>1873</v>
      </c>
      <c r="U9" s="194">
        <v>1723</v>
      </c>
      <c r="V9" s="194">
        <v>5958</v>
      </c>
      <c r="W9" s="194">
        <v>331</v>
      </c>
      <c r="X9" s="201">
        <v>693</v>
      </c>
      <c r="Y9" s="204">
        <v>120</v>
      </c>
      <c r="Z9" s="194">
        <v>108</v>
      </c>
      <c r="AA9" s="194">
        <v>104</v>
      </c>
      <c r="AB9" s="194">
        <v>124</v>
      </c>
      <c r="AC9" s="194">
        <v>0</v>
      </c>
      <c r="AD9" s="194">
        <v>0</v>
      </c>
      <c r="AE9" s="194">
        <v>0</v>
      </c>
      <c r="AF9" s="201">
        <v>0</v>
      </c>
      <c r="AG9" s="204">
        <v>176</v>
      </c>
      <c r="AH9" s="194">
        <v>131</v>
      </c>
      <c r="AI9" s="194">
        <v>119</v>
      </c>
      <c r="AJ9" s="205">
        <v>204</v>
      </c>
      <c r="AK9" s="193">
        <v>0</v>
      </c>
      <c r="AL9" s="194">
        <v>0</v>
      </c>
      <c r="AM9" s="194">
        <v>0</v>
      </c>
      <c r="AN9" s="201">
        <v>0</v>
      </c>
      <c r="AO9" s="282">
        <v>7</v>
      </c>
      <c r="AP9" s="167">
        <v>7</v>
      </c>
      <c r="AQ9" s="167">
        <v>7</v>
      </c>
      <c r="AR9" s="206">
        <v>7</v>
      </c>
      <c r="AS9" s="379" t="s">
        <v>1072</v>
      </c>
      <c r="AT9" s="208"/>
      <c r="AU9" s="207"/>
      <c r="AV9" s="208"/>
      <c r="AW9" s="207"/>
      <c r="AX9" s="208"/>
      <c r="AY9" s="133">
        <f>IF(ISNUMBER(IF(J_V="SI",S9,S9+AG9)),IF(J_V="SI",S9,S9+AG9)," - ")</f>
        <v>5636</v>
      </c>
      <c r="AZ9" s="133">
        <f>IF(ISNUMBER(IF(J_V="SI",T9,T9+AH9)),IF(J_V="SI",T9,T9+AH9)," - ")</f>
        <v>2004</v>
      </c>
      <c r="BA9" s="134">
        <f>IF(ISNUMBER(IF(J_V="SI",U9,U9+AI9)),IF(J_V="SI",U9,U9+AI9)," - ")</f>
        <v>1842</v>
      </c>
      <c r="BB9" s="134">
        <f>IF(ISNUMBER(IF(J_V="SI",V9,V9+AJ9)),IF(J_V="SI",V9,V9+AJ9)," - ")</f>
        <v>6162</v>
      </c>
      <c r="BC9" s="135">
        <f>IF(ISNUMBER(X9),X9," - ")</f>
        <v>693</v>
      </c>
      <c r="BD9" s="136">
        <f>IF(ISNUMBER(BA9/AZ9),BA9/AZ9," - ")</f>
        <v>0.91916167664670656</v>
      </c>
      <c r="BE9" s="137">
        <f>IF(ISNUMBER(BB9/BA9),BB9/BA9, " - ")</f>
        <v>3.3452768729641695</v>
      </c>
      <c r="BF9" s="137">
        <f>IF(ISNUMBER(BC9/BA9),BC9/BA9, " - ")</f>
        <v>0.37622149837133551</v>
      </c>
      <c r="BG9" s="209">
        <f>IF(ISNUMBER((AY9+AZ9)/BA9),(AY9+AZ9)/BA9," - ")</f>
        <v>4.1476655808903367</v>
      </c>
      <c r="BH9" s="167">
        <v>7</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72</v>
      </c>
      <c r="J10" s="194">
        <v>26</v>
      </c>
      <c r="K10" s="194">
        <v>31</v>
      </c>
      <c r="L10" s="194">
        <v>67</v>
      </c>
      <c r="M10" s="194">
        <v>11</v>
      </c>
      <c r="N10" s="194">
        <v>15</v>
      </c>
      <c r="O10" s="194">
        <v>9</v>
      </c>
      <c r="P10" s="194">
        <v>4</v>
      </c>
      <c r="Q10" s="194">
        <v>4</v>
      </c>
      <c r="R10" s="194">
        <v>220</v>
      </c>
      <c r="S10" s="194">
        <v>86</v>
      </c>
      <c r="T10" s="194">
        <v>32</v>
      </c>
      <c r="U10" s="194">
        <v>28</v>
      </c>
      <c r="V10" s="194">
        <v>90</v>
      </c>
      <c r="W10" s="194">
        <v>8</v>
      </c>
      <c r="X10" s="201">
        <v>16</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1066</v>
      </c>
      <c r="AT10" s="205"/>
      <c r="AU10" s="213"/>
      <c r="AV10" s="205"/>
      <c r="AW10" s="213"/>
      <c r="AX10" s="205"/>
      <c r="AY10" s="138">
        <f t="shared" ref="AY10:BC10" si="0">IF(ISNUMBER(S10),S10," - ")</f>
        <v>86</v>
      </c>
      <c r="AZ10" s="139">
        <f t="shared" si="0"/>
        <v>32</v>
      </c>
      <c r="BA10" s="139">
        <f t="shared" si="0"/>
        <v>28</v>
      </c>
      <c r="BB10" s="139">
        <f t="shared" si="0"/>
        <v>90</v>
      </c>
      <c r="BC10" s="135">
        <f t="shared" si="0"/>
        <v>8</v>
      </c>
      <c r="BD10" s="136">
        <f>IF(ISNUMBER(BA10/AZ10),BA10/AZ10," - ")</f>
        <v>0.875</v>
      </c>
      <c r="BE10" s="137">
        <f>IF(ISNUMBER(BB10/BA10),BB10/BA10, " - ")</f>
        <v>3.2142857142857144</v>
      </c>
      <c r="BF10" s="137">
        <f>IF(ISNUMBER(BC10/BA10),BC10/BA10, " - ")</f>
        <v>0.2857142857142857</v>
      </c>
      <c r="BG10" s="209">
        <f>IF(ISNUMBER((AY10+AZ10)/BA10),(AY10+AZ10)/BA10," - ")</f>
        <v>4.2142857142857144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v>1046</v>
      </c>
      <c r="J11" s="196">
        <v>345</v>
      </c>
      <c r="K11" s="196">
        <v>308</v>
      </c>
      <c r="L11" s="196">
        <v>1086</v>
      </c>
      <c r="M11" s="196">
        <v>141</v>
      </c>
      <c r="N11" s="196">
        <v>189</v>
      </c>
      <c r="O11" s="194">
        <v>84</v>
      </c>
      <c r="P11" s="196">
        <v>70</v>
      </c>
      <c r="Q11" s="196">
        <v>57</v>
      </c>
      <c r="R11" s="196">
        <v>664</v>
      </c>
      <c r="S11" s="196">
        <v>1096</v>
      </c>
      <c r="T11" s="196">
        <v>344</v>
      </c>
      <c r="U11" s="196">
        <v>391</v>
      </c>
      <c r="V11" s="196">
        <v>1095</v>
      </c>
      <c r="W11" s="196">
        <v>193</v>
      </c>
      <c r="X11" s="202">
        <v>159</v>
      </c>
      <c r="Y11" s="204">
        <v>182</v>
      </c>
      <c r="Z11" s="194">
        <v>71</v>
      </c>
      <c r="AA11" s="194">
        <v>74</v>
      </c>
      <c r="AB11" s="194">
        <v>184</v>
      </c>
      <c r="AC11" s="196">
        <v>0</v>
      </c>
      <c r="AD11" s="196">
        <v>0</v>
      </c>
      <c r="AE11" s="196">
        <v>0</v>
      </c>
      <c r="AF11" s="202">
        <v>0</v>
      </c>
      <c r="AG11" s="215">
        <v>141</v>
      </c>
      <c r="AH11" s="196">
        <v>144</v>
      </c>
      <c r="AI11" s="196">
        <v>151</v>
      </c>
      <c r="AJ11" s="216">
        <v>136</v>
      </c>
      <c r="AK11" s="195">
        <v>0</v>
      </c>
      <c r="AL11" s="196">
        <v>0</v>
      </c>
      <c r="AM11" s="196">
        <v>0</v>
      </c>
      <c r="AN11" s="202">
        <v>0</v>
      </c>
      <c r="AO11" s="283">
        <v>2</v>
      </c>
      <c r="AP11" s="168">
        <v>2</v>
      </c>
      <c r="AQ11" s="168">
        <v>2</v>
      </c>
      <c r="AR11" s="167">
        <v>2</v>
      </c>
      <c r="AS11" s="381" t="s">
        <v>1074</v>
      </c>
      <c r="AT11" s="216"/>
      <c r="AU11" s="215"/>
      <c r="AV11" s="216"/>
      <c r="AW11" s="215"/>
      <c r="AX11" s="216"/>
      <c r="AY11" s="136">
        <f t="shared" ref="AY11:BB12" si="1">IF(ISNUMBER(IF(J_V="SI",S11,S11+AG11)),IF(J_V="SI",S11,S11+AG11)," - ")</f>
        <v>1237</v>
      </c>
      <c r="AZ11" s="137">
        <f t="shared" si="1"/>
        <v>488</v>
      </c>
      <c r="BA11" s="137">
        <f t="shared" si="1"/>
        <v>542</v>
      </c>
      <c r="BB11" s="137">
        <f t="shared" si="1"/>
        <v>1231</v>
      </c>
      <c r="BC11" s="135">
        <f>IF(ISNUMBER(X11),X11," - ")</f>
        <v>159</v>
      </c>
      <c r="BD11" s="136">
        <f t="shared" ref="BD11:BD13" si="2">IF(ISNUMBER(BA11/AZ11),BA11/AZ11," - ")</f>
        <v>1.110655737704918</v>
      </c>
      <c r="BE11" s="137">
        <f t="shared" ref="BE11:BE13" si="3">IF(ISNUMBER(BB11/BA11),BB11/BA11, " - ")</f>
        <v>2.2712177121771218</v>
      </c>
      <c r="BF11" s="137">
        <f t="shared" ref="BF11:BF13" si="4">IF(ISNUMBER(BC11/BA11),BC11/BA11, " - ")</f>
        <v>0.29335793357933582</v>
      </c>
      <c r="BG11" s="209">
        <f t="shared" ref="BG11:BG13" si="5">IF(ISNUMBER((AY11+AZ11)/BA11),(AY11+AZ11)/BA11," - ")</f>
        <v>3.1826568265682655</v>
      </c>
      <c r="BH11" s="168">
        <v>2</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t="s">
        <v>1081</v>
      </c>
      <c r="J12" s="196" t="s">
        <v>1073</v>
      </c>
      <c r="K12" s="196" t="s">
        <v>1135</v>
      </c>
      <c r="L12" s="196" t="s">
        <v>1086</v>
      </c>
      <c r="M12" s="196" t="s">
        <v>653</v>
      </c>
      <c r="N12" s="196" t="s">
        <v>668</v>
      </c>
      <c r="O12" s="194" t="s">
        <v>286</v>
      </c>
      <c r="P12" s="196" t="s">
        <v>57</v>
      </c>
      <c r="Q12" s="196" t="s">
        <v>58</v>
      </c>
      <c r="R12" s="196" t="s">
        <v>125</v>
      </c>
      <c r="S12" s="196"/>
      <c r="T12" s="196"/>
      <c r="U12" s="196"/>
      <c r="V12" s="196"/>
      <c r="W12" s="196"/>
      <c r="X12" s="202"/>
      <c r="Y12" s="204" t="s">
        <v>179</v>
      </c>
      <c r="Z12" s="194" t="s">
        <v>180</v>
      </c>
      <c r="AA12" s="194" t="s">
        <v>181</v>
      </c>
      <c r="AB12" s="194" t="s">
        <v>182</v>
      </c>
      <c r="AC12" s="196"/>
      <c r="AD12" s="196"/>
      <c r="AE12" s="196"/>
      <c r="AF12" s="202"/>
      <c r="AG12" s="215"/>
      <c r="AH12" s="196"/>
      <c r="AI12" s="196"/>
      <c r="AJ12" s="216"/>
      <c r="AK12" s="195"/>
      <c r="AL12" s="196"/>
      <c r="AM12" s="196"/>
      <c r="AN12" s="202"/>
      <c r="AO12" s="283">
        <v>0</v>
      </c>
      <c r="AP12" s="168">
        <v>0</v>
      </c>
      <c r="AQ12" s="168">
        <v>0</v>
      </c>
      <c r="AR12" s="167">
        <v>0</v>
      </c>
      <c r="AS12" s="381" t="s">
        <v>1075</v>
      </c>
      <c r="AT12" s="216"/>
      <c r="AU12" s="215"/>
      <c r="AV12" s="216"/>
      <c r="AW12" s="215"/>
      <c r="AX12" s="216"/>
      <c r="AY12" s="136">
        <f t="shared" si="1"/>
        <v>0</v>
      </c>
      <c r="AZ12" s="137">
        <f t="shared" si="1"/>
        <v>0</v>
      </c>
      <c r="BA12" s="137">
        <f t="shared" si="1"/>
        <v>0</v>
      </c>
      <c r="BB12" s="137">
        <f t="shared" si="1"/>
        <v>0</v>
      </c>
      <c r="BC12" s="135" t="str">
        <f>IF(ISNUMBER(X12),X12," - ")</f>
        <v xml:space="preserve"> - </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7225</v>
      </c>
      <c r="J14" s="197">
        <f t="shared" si="7"/>
        <v>2709</v>
      </c>
      <c r="K14" s="197">
        <f t="shared" si="7"/>
        <v>2421</v>
      </c>
      <c r="L14" s="197">
        <f t="shared" si="7"/>
        <v>7516</v>
      </c>
      <c r="M14" s="197">
        <f t="shared" si="7"/>
        <v>605</v>
      </c>
      <c r="N14" s="197">
        <f t="shared" si="7"/>
        <v>1196</v>
      </c>
      <c r="O14" s="197">
        <f t="shared" si="7"/>
        <v>1172</v>
      </c>
      <c r="P14" s="197">
        <f t="shared" si="7"/>
        <v>714</v>
      </c>
      <c r="Q14" s="197">
        <f t="shared" si="7"/>
        <v>1858</v>
      </c>
      <c r="R14" s="197">
        <f t="shared" si="7"/>
        <v>13666</v>
      </c>
      <c r="S14" s="197">
        <f t="shared" si="7"/>
        <v>6642</v>
      </c>
      <c r="T14" s="197">
        <f t="shared" si="7"/>
        <v>2249</v>
      </c>
      <c r="U14" s="197">
        <f t="shared" si="7"/>
        <v>2142</v>
      </c>
      <c r="V14" s="197">
        <f t="shared" si="7"/>
        <v>7143</v>
      </c>
      <c r="W14" s="197">
        <f t="shared" si="7"/>
        <v>532</v>
      </c>
      <c r="X14" s="197">
        <f t="shared" si="7"/>
        <v>868</v>
      </c>
      <c r="Y14" s="197">
        <f t="shared" si="7"/>
        <v>302</v>
      </c>
      <c r="Z14" s="197">
        <f t="shared" si="7"/>
        <v>179</v>
      </c>
      <c r="AA14" s="197">
        <f t="shared" si="7"/>
        <v>178</v>
      </c>
      <c r="AB14" s="197">
        <f t="shared" si="7"/>
        <v>308</v>
      </c>
      <c r="AC14" s="197">
        <f t="shared" si="7"/>
        <v>0</v>
      </c>
      <c r="AD14" s="197">
        <f t="shared" si="7"/>
        <v>0</v>
      </c>
      <c r="AE14" s="197">
        <f t="shared" si="7"/>
        <v>0</v>
      </c>
      <c r="AF14" s="197">
        <f>SUBTOTAL(9,AF9:AF13)</f>
        <v>0</v>
      </c>
      <c r="AG14" s="197">
        <f t="shared" ref="AG14:AT14" si="8">SUBTOTAL(9,AG8:AG13)</f>
        <v>317</v>
      </c>
      <c r="AH14" s="197">
        <f t="shared" si="8"/>
        <v>275</v>
      </c>
      <c r="AI14" s="197">
        <f t="shared" si="8"/>
        <v>270</v>
      </c>
      <c r="AJ14" s="197">
        <f t="shared" si="8"/>
        <v>340</v>
      </c>
      <c r="AK14" s="197">
        <f t="shared" si="8"/>
        <v>0</v>
      </c>
      <c r="AL14" s="197">
        <f t="shared" si="8"/>
        <v>0</v>
      </c>
      <c r="AM14" s="197">
        <f t="shared" si="8"/>
        <v>0</v>
      </c>
      <c r="AN14" s="197">
        <f t="shared" si="8"/>
        <v>0</v>
      </c>
      <c r="AO14" s="197">
        <f t="shared" si="8"/>
        <v>10</v>
      </c>
      <c r="AP14" s="197">
        <f t="shared" si="8"/>
        <v>10</v>
      </c>
      <c r="AQ14" s="197">
        <f t="shared" si="8"/>
        <v>10</v>
      </c>
      <c r="AR14" s="197">
        <f t="shared" si="8"/>
        <v>10</v>
      </c>
      <c r="AS14" s="197">
        <f t="shared" si="8"/>
        <v>0</v>
      </c>
      <c r="AT14" s="197">
        <f t="shared" si="8"/>
        <v>0</v>
      </c>
      <c r="AU14" s="217"/>
      <c r="AV14" s="142"/>
      <c r="AW14" s="217"/>
      <c r="AX14" s="142"/>
      <c r="AY14" s="197">
        <f>SUBTOTAL(9,AY8:AY13)</f>
        <v>6959</v>
      </c>
      <c r="AZ14" s="197">
        <f>SUBTOTAL(9,AZ8:AZ13)</f>
        <v>2524</v>
      </c>
      <c r="BA14" s="197">
        <f>SUBTOTAL(9,BA8:BA13)</f>
        <v>2412</v>
      </c>
      <c r="BB14" s="197">
        <f>SUBTOTAL(9,BB8:BB13)</f>
        <v>7483</v>
      </c>
      <c r="BC14" s="197">
        <f>SUBTOTAL(9,BC8:BC13)</f>
        <v>860</v>
      </c>
      <c r="BD14" s="219">
        <f>IF(ISNUMBER(BA14/AZ14),BA14/AZ14," - ")</f>
        <v>0.95562599049128372</v>
      </c>
      <c r="BE14" s="220">
        <f>IF(ISNUMBER(BB14/BA14),BB14/BA14, " - ")</f>
        <v>3.1024046434494195</v>
      </c>
      <c r="BF14" s="220">
        <f>IF(ISNUMBER(BC14/BA14),BC14/BA14, " - ")</f>
        <v>0.35655058043117743</v>
      </c>
      <c r="BG14" s="221">
        <f>IF(ISNUMBER((AY14+AZ14)/BA14),(AY14+AZ14)/BA14," - ")</f>
        <v>3.9315920398009951</v>
      </c>
      <c r="BH14" s="153">
        <f>SUBTOTAL(9,BH8:BH13)</f>
        <v>10</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v>1590</v>
      </c>
      <c r="J16" s="196">
        <v>1873</v>
      </c>
      <c r="K16" s="196">
        <v>1771</v>
      </c>
      <c r="L16" s="196">
        <v>1752</v>
      </c>
      <c r="M16" s="196">
        <v>250</v>
      </c>
      <c r="N16" s="196">
        <v>1031</v>
      </c>
      <c r="O16" s="194">
        <v>34</v>
      </c>
      <c r="P16" s="196">
        <v>68</v>
      </c>
      <c r="Q16" s="196">
        <v>163</v>
      </c>
      <c r="R16" s="196">
        <v>301</v>
      </c>
      <c r="S16" s="196">
        <v>1501</v>
      </c>
      <c r="T16" s="196">
        <v>1698</v>
      </c>
      <c r="U16" s="196">
        <v>1604</v>
      </c>
      <c r="V16" s="196">
        <v>1620</v>
      </c>
      <c r="W16" s="196">
        <v>276</v>
      </c>
      <c r="X16" s="202">
        <v>856</v>
      </c>
      <c r="Y16" s="215">
        <v>0</v>
      </c>
      <c r="Z16" s="196">
        <v>0</v>
      </c>
      <c r="AA16" s="196">
        <v>0</v>
      </c>
      <c r="AB16" s="196">
        <v>0</v>
      </c>
      <c r="AC16" s="196">
        <v>1</v>
      </c>
      <c r="AD16" s="196">
        <v>50</v>
      </c>
      <c r="AE16" s="196">
        <v>51</v>
      </c>
      <c r="AF16" s="202">
        <v>0</v>
      </c>
      <c r="AG16" s="215">
        <v>0</v>
      </c>
      <c r="AH16" s="196">
        <v>0</v>
      </c>
      <c r="AI16" s="196">
        <v>0</v>
      </c>
      <c r="AJ16" s="216">
        <v>0</v>
      </c>
      <c r="AK16" s="195">
        <v>2</v>
      </c>
      <c r="AL16" s="196">
        <v>63</v>
      </c>
      <c r="AM16" s="196">
        <v>65</v>
      </c>
      <c r="AN16" s="202">
        <v>0</v>
      </c>
      <c r="AO16" s="283">
        <v>4</v>
      </c>
      <c r="AP16" s="168">
        <v>4</v>
      </c>
      <c r="AQ16" s="168">
        <v>4</v>
      </c>
      <c r="AR16" s="168">
        <v>4</v>
      </c>
      <c r="AS16" s="381" t="s">
        <v>702</v>
      </c>
      <c r="AT16" s="216" t="s">
        <v>424</v>
      </c>
      <c r="AU16" s="215"/>
      <c r="AV16" s="216"/>
      <c r="AW16" s="215"/>
      <c r="AX16" s="216"/>
      <c r="AY16" s="138">
        <f t="shared" ref="AY16:BB17" si="10">IF(ISNUMBER(IF(D_I="SI",S16,S16+AK16)),IF(D_I="SI",S16,S16+AK16)," - ")</f>
        <v>1501</v>
      </c>
      <c r="AZ16" s="139">
        <f t="shared" si="10"/>
        <v>1698</v>
      </c>
      <c r="BA16" s="139">
        <f t="shared" si="10"/>
        <v>1604</v>
      </c>
      <c r="BB16" s="139">
        <f t="shared" si="10"/>
        <v>1620</v>
      </c>
      <c r="BC16" s="135">
        <f>IF(ISNUMBER(W16),W16," - ")</f>
        <v>276</v>
      </c>
      <c r="BD16" s="136">
        <f>IF(ISNUMBER(BA16/AZ16),BA16/AZ16," - ")</f>
        <v>0.94464075382803303</v>
      </c>
      <c r="BE16" s="137">
        <f>IF(ISNUMBER(BB16/BA16),BB16/BA16, " - ")</f>
        <v>1.0099750623441397</v>
      </c>
      <c r="BF16" s="137">
        <f>IF(ISNUMBER(BC16/BA16),BC16/BA16, " - ")</f>
        <v>0.17206982543640897</v>
      </c>
      <c r="BG16" s="209">
        <f t="shared" ref="BG16:BG22" si="11">IF(ISNUMBER((AY16+AZ16)/BA16),(AY16+AZ16)/BA16," - ")</f>
        <v>1.9943890274314215</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t="s">
        <v>651</v>
      </c>
      <c r="J17" s="196" t="s">
        <v>647</v>
      </c>
      <c r="K17" s="196" t="s">
        <v>648</v>
      </c>
      <c r="L17" s="196" t="s">
        <v>649</v>
      </c>
      <c r="M17" s="196" t="s">
        <v>654</v>
      </c>
      <c r="N17" s="196" t="s">
        <v>200</v>
      </c>
      <c r="O17" s="194" t="s">
        <v>287</v>
      </c>
      <c r="P17" s="196" t="s">
        <v>633</v>
      </c>
      <c r="Q17" s="196" t="s">
        <v>634</v>
      </c>
      <c r="R17" s="196" t="s">
        <v>635</v>
      </c>
      <c r="S17" s="196"/>
      <c r="T17" s="196"/>
      <c r="U17" s="196"/>
      <c r="V17" s="196"/>
      <c r="W17" s="196"/>
      <c r="X17" s="202"/>
      <c r="Y17" s="215"/>
      <c r="Z17" s="196"/>
      <c r="AA17" s="196"/>
      <c r="AB17" s="196"/>
      <c r="AC17" s="196" t="s">
        <v>66</v>
      </c>
      <c r="AD17" s="196" t="s">
        <v>75</v>
      </c>
      <c r="AE17" s="196" t="s">
        <v>76</v>
      </c>
      <c r="AF17" s="202" t="s">
        <v>77</v>
      </c>
      <c r="AG17" s="215"/>
      <c r="AH17" s="196"/>
      <c r="AI17" s="196"/>
      <c r="AJ17" s="216"/>
      <c r="AK17" s="195"/>
      <c r="AL17" s="196"/>
      <c r="AM17" s="196"/>
      <c r="AN17" s="202"/>
      <c r="AO17" s="283">
        <v>0</v>
      </c>
      <c r="AP17" s="168">
        <v>0</v>
      </c>
      <c r="AQ17" s="168">
        <v>0</v>
      </c>
      <c r="AR17" s="168">
        <v>0</v>
      </c>
      <c r="AS17" s="381" t="s">
        <v>650</v>
      </c>
      <c r="AT17" s="216"/>
      <c r="AU17" s="215"/>
      <c r="AV17" s="216"/>
      <c r="AW17" s="215"/>
      <c r="AX17" s="216"/>
      <c r="AY17" s="136" t="str">
        <f t="shared" si="10"/>
        <v xml:space="preserve"> - </v>
      </c>
      <c r="AZ17" s="137" t="str">
        <f t="shared" si="10"/>
        <v xml:space="preserve"> - </v>
      </c>
      <c r="BA17" s="137" t="str">
        <f t="shared" si="10"/>
        <v xml:space="preserve"> - </v>
      </c>
      <c r="BB17" s="137" t="str">
        <f t="shared" si="10"/>
        <v xml:space="preserve"> - </v>
      </c>
      <c r="BC17" s="135" t="str">
        <f>IF(ISNUMBER(W17),W17," - ")</f>
        <v xml:space="preserve"> - </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125</v>
      </c>
      <c r="J18" s="196">
        <v>227</v>
      </c>
      <c r="K18" s="196">
        <v>211</v>
      </c>
      <c r="L18" s="196">
        <v>141</v>
      </c>
      <c r="M18" s="196">
        <v>20</v>
      </c>
      <c r="N18" s="196">
        <v>108</v>
      </c>
      <c r="O18" s="196">
        <v>0</v>
      </c>
      <c r="P18" s="196">
        <v>2</v>
      </c>
      <c r="Q18" s="196">
        <v>1</v>
      </c>
      <c r="R18" s="196">
        <v>4</v>
      </c>
      <c r="S18" s="196">
        <v>83</v>
      </c>
      <c r="T18" s="196">
        <v>252</v>
      </c>
      <c r="U18" s="196">
        <v>232</v>
      </c>
      <c r="V18" s="196">
        <v>103</v>
      </c>
      <c r="W18" s="196">
        <v>21</v>
      </c>
      <c r="X18" s="202">
        <v>102</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1065</v>
      </c>
      <c r="AT18" s="223"/>
      <c r="AU18" s="213"/>
      <c r="AV18" s="223"/>
      <c r="AW18" s="213"/>
      <c r="AX18" s="223"/>
      <c r="AY18" s="138">
        <f t="shared" ref="AY18:BB19" si="15">IF(ISNUMBER(S18),S18," - ")</f>
        <v>83</v>
      </c>
      <c r="AZ18" s="139">
        <f t="shared" si="15"/>
        <v>252</v>
      </c>
      <c r="BA18" s="139">
        <f t="shared" si="15"/>
        <v>232</v>
      </c>
      <c r="BB18" s="139">
        <f t="shared" si="15"/>
        <v>103</v>
      </c>
      <c r="BC18" s="135">
        <f>IF(ISNUMBER(W18),W18," - ")</f>
        <v>21</v>
      </c>
      <c r="BD18" s="136">
        <f>IF(ISNUMBER(BA18/AZ18),BA18/AZ18," - ")</f>
        <v>0.92063492063492058</v>
      </c>
      <c r="BE18" s="137">
        <f>IF(ISNUMBER(BB18/BA18),BB18/BA18, " - ")</f>
        <v>0.44396551724137934</v>
      </c>
      <c r="BF18" s="137">
        <f>IF(ISNUMBER(BC18/BA18),BC18/BA18, " - ")</f>
        <v>9.0517241379310345E-2</v>
      </c>
      <c r="BG18" s="209">
        <f>IF(ISNUMBER((AY18+AZ18)/BA18),(AY18+AZ18)/BA18," - ")</f>
        <v>1.4439655172413792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1715</v>
      </c>
      <c r="J23" s="197">
        <f t="shared" si="21"/>
        <v>2100</v>
      </c>
      <c r="K23" s="197">
        <f t="shared" si="21"/>
        <v>1982</v>
      </c>
      <c r="L23" s="197">
        <f t="shared" si="21"/>
        <v>1893</v>
      </c>
      <c r="M23" s="197">
        <f t="shared" si="21"/>
        <v>270</v>
      </c>
      <c r="N23" s="197">
        <f t="shared" si="21"/>
        <v>1139</v>
      </c>
      <c r="O23" s="197">
        <f t="shared" si="21"/>
        <v>34</v>
      </c>
      <c r="P23" s="197">
        <f t="shared" si="21"/>
        <v>70</v>
      </c>
      <c r="Q23" s="197">
        <f t="shared" si="21"/>
        <v>164</v>
      </c>
      <c r="R23" s="197">
        <f t="shared" si="21"/>
        <v>305</v>
      </c>
      <c r="S23" s="197">
        <f t="shared" si="21"/>
        <v>1584</v>
      </c>
      <c r="T23" s="197">
        <f t="shared" si="21"/>
        <v>1950</v>
      </c>
      <c r="U23" s="197">
        <f t="shared" si="21"/>
        <v>1836</v>
      </c>
      <c r="V23" s="197">
        <f t="shared" si="21"/>
        <v>1723</v>
      </c>
      <c r="W23" s="197">
        <f t="shared" si="21"/>
        <v>297</v>
      </c>
      <c r="X23" s="197">
        <f t="shared" si="21"/>
        <v>958</v>
      </c>
      <c r="Y23" s="197">
        <f t="shared" si="21"/>
        <v>0</v>
      </c>
      <c r="Z23" s="197">
        <f t="shared" si="21"/>
        <v>0</v>
      </c>
      <c r="AA23" s="197">
        <f t="shared" si="21"/>
        <v>0</v>
      </c>
      <c r="AB23" s="197">
        <f t="shared" si="21"/>
        <v>0</v>
      </c>
      <c r="AC23" s="197">
        <f t="shared" si="21"/>
        <v>1</v>
      </c>
      <c r="AD23" s="197">
        <f t="shared" si="21"/>
        <v>50</v>
      </c>
      <c r="AE23" s="197">
        <f t="shared" si="21"/>
        <v>51</v>
      </c>
      <c r="AF23" s="197">
        <f t="shared" si="21"/>
        <v>0</v>
      </c>
      <c r="AG23" s="197">
        <f t="shared" si="21"/>
        <v>0</v>
      </c>
      <c r="AH23" s="197">
        <f t="shared" si="21"/>
        <v>0</v>
      </c>
      <c r="AI23" s="197">
        <f t="shared" si="21"/>
        <v>0</v>
      </c>
      <c r="AJ23" s="197">
        <f t="shared" si="21"/>
        <v>0</v>
      </c>
      <c r="AK23" s="197">
        <f t="shared" si="21"/>
        <v>2</v>
      </c>
      <c r="AL23" s="197">
        <f t="shared" si="21"/>
        <v>63</v>
      </c>
      <c r="AM23" s="197">
        <f t="shared" si="21"/>
        <v>65</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1584</v>
      </c>
      <c r="AZ23" s="197">
        <f>SUBTOTAL(9,AZ15:AZ22)</f>
        <v>1950</v>
      </c>
      <c r="BA23" s="197">
        <f>SUBTOTAL(9,BA15:BA22)</f>
        <v>1836</v>
      </c>
      <c r="BB23" s="197">
        <f>SUBTOTAL(9,BB15:BB22)</f>
        <v>1723</v>
      </c>
      <c r="BC23" s="197">
        <f>SUBTOTAL(9,BC15:BC22)</f>
        <v>297</v>
      </c>
      <c r="BD23" s="219">
        <f>IF(ISNUMBER(BA23/AZ23),BA23/AZ23," - ")</f>
        <v>0.94153846153846155</v>
      </c>
      <c r="BE23" s="220">
        <f>IF(ISNUMBER(BB23/BA23),BB23/BA23, " - ")</f>
        <v>0.93845315904139437</v>
      </c>
      <c r="BF23" s="220">
        <f>IF(ISNUMBER(BC23/BA23),BC23/BA23, " - ")</f>
        <v>0.16176470588235295</v>
      </c>
      <c r="BG23" s="221">
        <f>IF(ISNUMBER((AY23+AZ23)/BA23),(AY23+AZ23)/BA23," - ")</f>
        <v>1.9248366013071896</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8940</v>
      </c>
      <c r="J31" s="144">
        <f t="shared" si="36"/>
        <v>4809</v>
      </c>
      <c r="K31" s="144">
        <f t="shared" si="36"/>
        <v>4403</v>
      </c>
      <c r="L31" s="144">
        <f t="shared" si="36"/>
        <v>9409</v>
      </c>
      <c r="M31" s="144">
        <f t="shared" si="36"/>
        <v>875</v>
      </c>
      <c r="N31" s="144">
        <f t="shared" si="36"/>
        <v>2335</v>
      </c>
      <c r="O31" s="144">
        <f t="shared" si="36"/>
        <v>1206</v>
      </c>
      <c r="P31" s="144">
        <f t="shared" si="36"/>
        <v>784</v>
      </c>
      <c r="Q31" s="144">
        <f t="shared" si="36"/>
        <v>2022</v>
      </c>
      <c r="R31" s="144">
        <f t="shared" si="36"/>
        <v>13971</v>
      </c>
      <c r="S31" s="144">
        <f t="shared" si="36"/>
        <v>8226</v>
      </c>
      <c r="T31" s="144">
        <f t="shared" si="36"/>
        <v>4199</v>
      </c>
      <c r="U31" s="144">
        <f t="shared" si="36"/>
        <v>3978</v>
      </c>
      <c r="V31" s="144">
        <f t="shared" si="36"/>
        <v>8866</v>
      </c>
      <c r="W31" s="144">
        <f t="shared" si="36"/>
        <v>829</v>
      </c>
      <c r="X31" s="144">
        <f t="shared" si="36"/>
        <v>1826</v>
      </c>
      <c r="Y31" s="144">
        <f t="shared" si="36"/>
        <v>302</v>
      </c>
      <c r="Z31" s="144">
        <f t="shared" si="36"/>
        <v>179</v>
      </c>
      <c r="AA31" s="144">
        <f t="shared" si="36"/>
        <v>178</v>
      </c>
      <c r="AB31" s="144">
        <f t="shared" si="36"/>
        <v>308</v>
      </c>
      <c r="AC31" s="144">
        <f t="shared" si="36"/>
        <v>1</v>
      </c>
      <c r="AD31" s="144">
        <f t="shared" si="36"/>
        <v>50</v>
      </c>
      <c r="AE31" s="144">
        <f t="shared" si="36"/>
        <v>51</v>
      </c>
      <c r="AF31" s="144">
        <f t="shared" si="36"/>
        <v>0</v>
      </c>
      <c r="AG31" s="144">
        <f t="shared" si="36"/>
        <v>317</v>
      </c>
      <c r="AH31" s="144">
        <f t="shared" si="36"/>
        <v>275</v>
      </c>
      <c r="AI31" s="144">
        <f t="shared" si="36"/>
        <v>270</v>
      </c>
      <c r="AJ31" s="144">
        <f t="shared" si="36"/>
        <v>340</v>
      </c>
      <c r="AK31" s="144">
        <f t="shared" si="36"/>
        <v>2</v>
      </c>
      <c r="AL31" s="144">
        <f t="shared" si="36"/>
        <v>63</v>
      </c>
      <c r="AM31" s="144">
        <f t="shared" si="36"/>
        <v>65</v>
      </c>
      <c r="AN31" s="224">
        <f t="shared" si="36"/>
        <v>0</v>
      </c>
      <c r="AO31" s="225">
        <v>14</v>
      </c>
      <c r="AP31" s="225">
        <v>14</v>
      </c>
      <c r="AQ31" s="225">
        <v>14</v>
      </c>
      <c r="AR31" s="225">
        <v>14</v>
      </c>
      <c r="AS31" s="166">
        <f t="shared" si="36"/>
        <v>0</v>
      </c>
      <c r="AT31" s="166">
        <f t="shared" si="36"/>
        <v>0</v>
      </c>
      <c r="AU31" s="225"/>
      <c r="AV31" s="226"/>
      <c r="AW31" s="225"/>
      <c r="AX31" s="226"/>
      <c r="AY31" s="143">
        <f>SUBTOTAL(9,AY9:AY30)</f>
        <v>8543</v>
      </c>
      <c r="AZ31" s="144">
        <f>SUBTOTAL(9,AZ9:AZ30)</f>
        <v>4474</v>
      </c>
      <c r="BA31" s="144">
        <f>SUBTOTAL(9,BA9:BA30)</f>
        <v>4248</v>
      </c>
      <c r="BB31" s="144">
        <f>SUBTOTAL(9,BB9:BB30)</f>
        <v>9206</v>
      </c>
      <c r="BC31" s="145">
        <f>SUBTOTAL(9,BC9:BC30)</f>
        <v>1157</v>
      </c>
      <c r="BD31" s="227">
        <f>IF(ISNUMBER(BA31/AZ31),BA31/AZ31," - ")</f>
        <v>0.94948591864103715</v>
      </c>
      <c r="BE31" s="224">
        <f>IF(ISNUMBER(BB31/BA31),BB31/BA31, " - ")</f>
        <v>2.1671374764595104</v>
      </c>
      <c r="BF31" s="224">
        <f>IF(ISNUMBER(BC31/BA31),BC31/BA31, " - ")</f>
        <v>0.27236346516007531</v>
      </c>
      <c r="BG31" s="145">
        <f>IF(ISNUMBER((AY31+AZ31)/BA31),(AY31+AZ31)/BA31," - ")</f>
        <v>3.0642655367231639</v>
      </c>
      <c r="BH31" s="225">
        <f>SUBTOTAL(9,BH9:BH30)</f>
        <v>15</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y1dDmMKcU+Mhu66MazednfUSWkZHYaK3/7vefH9zVg/XWqIorzEcILwbCYWoFGSu3tCxRqJ6lm88DQiqlSEw==" saltValue="rDCvbQLDcFb9RAYxYO80m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Zm0aXof5cmyEouTWop+tHUEHrdSKmpcx/2M914LIz2cZA+vjhTV0GX9AUvNvmDfGxquQpEOMiDrl8gj7iNRPg==" saltValue="0DHzlXcVLaikACG2uHNnU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TERRASSA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7</v>
      </c>
      <c r="B9" s="745" t="s">
        <v>321</v>
      </c>
      <c r="C9" s="765" t="str">
        <f>Datos!A9</f>
        <v xml:space="preserve">Jdos. 1ª Instancia   </v>
      </c>
      <c r="D9" s="593"/>
      <c r="E9" s="764">
        <f>IF(ISNUMBER(Datos!AQ9),Datos!AQ9," - ")</f>
        <v>7</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108</v>
      </c>
      <c r="O9" s="549"/>
      <c r="P9" s="549"/>
      <c r="Q9" s="547">
        <f>IF(ISNUMBER(Datos!P9),Datos!P9,0)</f>
        <v>640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1797</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124</v>
      </c>
      <c r="AI9" s="549" t="str">
        <f>IF(ISNUMBER(Datos!CD9),Datos!CD9,"-")</f>
        <v>-</v>
      </c>
      <c r="AJ9" s="549" t="str">
        <f>IF(ISNUMBER(Datos!EN9),Datos!EN9," - ")</f>
        <v xml:space="preserve"> - </v>
      </c>
      <c r="AK9" s="549"/>
      <c r="AL9" s="550"/>
      <c r="AM9" s="766">
        <f>IF(ISNUMBER(Datos!R9),Datos!R9," - ")</f>
        <v>12782</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453</v>
      </c>
      <c r="BD9" s="693">
        <f>IF(ISNUMBER(Datos!N9),Datos!N9," - ")</f>
        <v>992</v>
      </c>
      <c r="BE9" s="693" t="str">
        <f>IF(ISNUMBER(Datos!BW9),Datos!BW9," - ")</f>
        <v xml:space="preserve"> - </v>
      </c>
      <c r="BF9" s="762" t="str">
        <f>IF(ISNUMBER(Datos!BX9),Datos!BX9," - ")</f>
        <v xml:space="preserve"> - </v>
      </c>
      <c r="BG9" s="763">
        <f>IF(ISNUMBER(IF(J_V="SI",Datos!K9/Datos!J9,(Datos!K9+Datos!AA9)/(Datos!J9+Datos!Z9))),IF(J_V="SI",Datos!K9/Datos!J9,(Datos!K9+Datos!AA9)/(Datos!J9+Datos!Z9))," - ")</f>
        <v>0.8937040065412919</v>
      </c>
      <c r="BH9" s="764">
        <f>IF(ISNUMBER(((IF(J_V="SI",Datos!L9/Datos!K9,(Datos!L9+Datos!AB9)/(Datos!K9+Datos!AA9)))*11)/factor_trimestre),((IF(J_V="SI",Datos!L9/Datos!K9,(Datos!L9+Datos!AB9)/(Datos!K9+Datos!AA9)))*11)/factor_trimestre," - ")</f>
        <v>5.9350411710887467</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-8.3004519692947851E-2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218.18181818181819</v>
      </c>
    </row>
    <row r="10" spans="1:74" s="578" customFormat="1" ht="14.25">
      <c r="A10" s="745">
        <f>Datos!AO10</f>
        <v>1</v>
      </c>
      <c r="B10" s="746" t="s">
        <v>321</v>
      </c>
      <c r="C10" s="747" t="str">
        <f>Datos!A10</f>
        <v>Jdos. Violencia contra la mujer</v>
      </c>
      <c r="D10" s="601"/>
      <c r="E10" s="764">
        <f>IF(ISNUMBER(Datos!AQ10),Datos!AQ10," - ")</f>
        <v>1</v>
      </c>
      <c r="F10" s="552">
        <f>IF(ISNUMBER(Datos!L10+Datos!K10-Datos!J10),Datos!L10+Datos!K10-Datos!J10," - ")</f>
        <v>72</v>
      </c>
      <c r="G10" s="543">
        <f>IF(ISNUMBER(Datos!I10),Datos!I10," - ")</f>
        <v>72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31</v>
      </c>
      <c r="AC10" s="547">
        <f>IF(ISNUMBER(Datos!Q10),Datos!Q10," - ")</f>
        <v>4</v>
      </c>
      <c r="AD10" s="549"/>
      <c r="AE10" s="563"/>
      <c r="AF10" s="551">
        <f>IF(ISNUMBER(Datos!L10),Datos!L10,"-")</f>
        <v>67</v>
      </c>
      <c r="AG10" s="549"/>
      <c r="AH10" s="549"/>
      <c r="AI10" s="549"/>
      <c r="AJ10" s="549"/>
      <c r="AK10" s="549"/>
      <c r="AL10" s="550"/>
      <c r="AM10" s="766">
        <f>IF(ISNUMBER(Datos!R10),Datos!R10," - ")</f>
        <v>220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15</v>
      </c>
      <c r="BE10" s="693" t="str">
        <f>IF(ISNUMBER(Datos!BW10),Datos!BW10," - ")</f>
        <v xml:space="preserve"> - </v>
      </c>
      <c r="BF10" s="762" t="str">
        <f>IF(ISNUMBER(Datos!BX10),Datos!BX10," - ")</f>
        <v xml:space="preserve"> - </v>
      </c>
      <c r="BG10" s="763">
        <f>IF(ISNUMBER(Datos!K10/Datos!J10),Datos!K10/Datos!J10," - ")</f>
        <v>1.1923076923076923</v>
      </c>
      <c r="BH10" s="764">
        <f>IF(ISNUMBER(((Datos!L10/Datos!K10)*11)/factor_trimestre),((Datos!L10/Datos!K10)*11)/factor_trimestre," - ")</f>
        <v>4.32258064516129</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290.90909090909093</v>
      </c>
    </row>
    <row r="11" spans="1:74" s="578" customFormat="1" ht="14.25">
      <c r="A11" s="745">
        <f>Datos!AO11</f>
        <v>2</v>
      </c>
      <c r="B11" s="746" t="s">
        <v>321</v>
      </c>
      <c r="C11" s="747" t="str">
        <f>Datos!A11</f>
        <v xml:space="preserve">Jdos. Familia                                   </v>
      </c>
      <c r="D11" s="601"/>
      <c r="E11" s="764">
        <f>IF(ISNUMBER(Datos!AQ11),Datos!AQ11," - ")</f>
        <v>2</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71</v>
      </c>
      <c r="O11" s="549"/>
      <c r="P11" s="549"/>
      <c r="Q11" s="547">
        <f>IF(ISNUMBER(Datos!P11),Datos!P11,0)</f>
        <v>70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57</v>
      </c>
      <c r="AD11" s="549"/>
      <c r="AE11" s="563"/>
      <c r="AF11" s="551" t="str">
        <f>IF(ISNUMBER(IF(J_V="SI",Datos!L11,Datos!L11+Datos!AB11)-IF(Monitorios="SI",Datos!CD11,0)),
                          IF(J_V="SI",Datos!L11,Datos!L11+Datos!AB11)-IF(Monitorios="SI",Datos!CD11,0),
                          " - ")</f>
        <v xml:space="preserve"> - </v>
      </c>
      <c r="AG11" s="549"/>
      <c r="AH11" s="549">
        <f>IF(ISNUMBER(Datos!AB11),Datos!AB11,"-")</f>
        <v>184</v>
      </c>
      <c r="AI11" s="549"/>
      <c r="AJ11" s="549"/>
      <c r="AK11" s="549"/>
      <c r="AL11" s="550"/>
      <c r="AM11" s="766">
        <f>IF(ISNUMBER(Datos!R11),Datos!R11," - ")</f>
        <v>664</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141</v>
      </c>
      <c r="BD11" s="693">
        <f>IF(ISNUMBER(Datos!N11),Datos!N11," - ")</f>
        <v>189</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0.91826923076923073</v>
      </c>
      <c r="BH11" s="764">
        <f>IF(ISNUMBER(((IF(J_V="SI",Datos!L11/Datos!K11,(Datos!L11+Datos!AB11)/(Datos!K11+Datos!AA11)))*11)/factor_trimestre),((IF(J_V="SI",Datos!L11/Datos!K11,(Datos!L11+Datos!AB11)/(Datos!K11+Datos!AA11)))*11)/factor_trimestre," - ")</f>
        <v>6.6492146596858639</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1.9969278033794162E-2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240.54545454545453</v>
      </c>
    </row>
    <row r="12" spans="1:74" s="578" customFormat="1" ht="14.25">
      <c r="A12" s="745">
        <f>Datos!AO12</f>
        <v>0</v>
      </c>
      <c r="B12" s="746" t="s">
        <v>321</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t="str">
        <f>IF(ISNUMBER(Datos!Z12),Datos!Z12," - ")</f>
        <v xml:space="preserve"> - </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t="str">
        <f>IF(ISNUMBER(Datos!Q12),Datos!Q12," - ")</f>
        <v xml:space="preserve"> - </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t="str">
        <f>IF(ISNUMBER(Datos!AB12),Datos!AB12,"-")</f>
        <v>-</v>
      </c>
      <c r="AI12" s="549" t="str">
        <f>IF(ISNUMBER(Datos!CD12),Datos!CD12,"-")</f>
        <v>-</v>
      </c>
      <c r="AJ12" s="549" t="str">
        <f>IF(ISNUMBER(Datos!EN12),Datos!EN12," - ")</f>
        <v xml:space="preserve"> - </v>
      </c>
      <c r="AK12" s="549"/>
      <c r="AL12" s="550"/>
      <c r="AM12" s="766" t="str">
        <f>IF(ISNUMBER(Datos!R12),Datos!R12," - ")</f>
        <v xml:space="preserve"> - </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t="str">
        <f>IF(ISNUMBER(Datos!M12),Datos!M12," - ")</f>
        <v xml:space="preserve"> - </v>
      </c>
      <c r="BD12" s="693" t="str">
        <f>IF(ISNUMBER(Datos!N12),Datos!N12," - ")</f>
        <v xml:space="preserve"> - </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t="str">
        <f>IF(ISNUMBER(((IF(J_V="SI",Datos!L12/Datos!K12,(Datos!L12+Datos!AB12)/(Datos!K12+Datos!AA12)))*11)/factor_trimestre),((IF(J_V="SI",Datos!L12/Datos!K12,(Datos!L12+Datos!AB12)/(Datos!K12+Datos!AA12)))*11)/factor_trimestre," - ")</f>
        <v xml:space="preserve"> - </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t="str">
        <f>IF(ISNUMBER((Datos!P12-Datos!Q12+Datos!DE12)/(Datos!R12-Datos!P12+Datos!Q12-Datos!DE12)),(Datos!P12-Datos!Q12+Datos!DE12)/(Datos!R12-Datos!P12+Datos!Q12-Datos!DE12)," - ")</f>
        <v xml:space="preserve"> - </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123.63636363636364</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159.09090909090909</v>
      </c>
    </row>
    <row r="14" spans="1:74" ht="15.75" thickTop="1" thickBot="1">
      <c r="A14" s="191"/>
      <c r="B14" s="191"/>
      <c r="C14" s="1160" t="str">
        <f>Datos!A14</f>
        <v>TOTAL</v>
      </c>
      <c r="D14" s="1196"/>
      <c r="E14" s="1554">
        <f t="shared" ref="E14:Z14" si="1">SUBTOTAL(9,E8:E13)</f>
        <v>10</v>
      </c>
      <c r="F14" s="1197">
        <f t="shared" si="1"/>
        <v>72</v>
      </c>
      <c r="G14" s="1197">
        <f t="shared" si="1"/>
        <v>72</v>
      </c>
      <c r="H14" s="1198">
        <f t="shared" si="1"/>
        <v>0</v>
      </c>
      <c r="I14" s="1197">
        <f t="shared" si="1"/>
        <v>0</v>
      </c>
      <c r="J14" s="1164">
        <f t="shared" si="1"/>
        <v>0</v>
      </c>
      <c r="K14" s="1164">
        <f t="shared" si="1"/>
        <v>0</v>
      </c>
      <c r="L14" s="1198">
        <f t="shared" si="1"/>
        <v>0</v>
      </c>
      <c r="M14" s="1198">
        <f t="shared" si="1"/>
        <v>0</v>
      </c>
      <c r="N14" s="1198">
        <f t="shared" si="1"/>
        <v>179</v>
      </c>
      <c r="O14" s="1199">
        <f t="shared" si="1"/>
        <v>0</v>
      </c>
      <c r="P14" s="1199">
        <f t="shared" si="1"/>
        <v>0</v>
      </c>
      <c r="Q14" s="1198">
        <f t="shared" si="1"/>
        <v>714</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31</v>
      </c>
      <c r="AC14" s="1198">
        <f t="shared" si="2"/>
        <v>1858</v>
      </c>
      <c r="AD14" s="1198">
        <f t="shared" si="2"/>
        <v>0</v>
      </c>
      <c r="AE14" s="1198">
        <f t="shared" si="2"/>
        <v>0</v>
      </c>
      <c r="AF14" s="1198">
        <f t="shared" si="2"/>
        <v>67</v>
      </c>
      <c r="AG14" s="1198">
        <f t="shared" si="2"/>
        <v>0</v>
      </c>
      <c r="AH14" s="1198">
        <f t="shared" si="2"/>
        <v>308</v>
      </c>
      <c r="AI14" s="1198">
        <f t="shared" si="2"/>
        <v>0</v>
      </c>
      <c r="AJ14" s="1198">
        <f t="shared" si="2"/>
        <v>0</v>
      </c>
      <c r="AK14" s="1198">
        <f t="shared" si="2"/>
        <v>0</v>
      </c>
      <c r="AL14" s="1198">
        <f t="shared" si="2"/>
        <v>0</v>
      </c>
      <c r="AM14" s="1198">
        <f t="shared" si="2"/>
        <v>13666</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605</v>
      </c>
      <c r="BD14" s="1198">
        <f t="shared" si="2"/>
        <v>1196</v>
      </c>
      <c r="BE14" s="1198">
        <f t="shared" si="2"/>
        <v>0</v>
      </c>
      <c r="BF14" s="1198">
        <f t="shared" si="2"/>
        <v>0</v>
      </c>
      <c r="BG14" s="1198">
        <f>IF(ISNUMBER(Datos!K14/Datos!J14),Datos!K14/Datos!J14," - ")</f>
        <v>0.89368770764119598</v>
      </c>
      <c r="BH14" s="1202">
        <f>IF(ISNUMBER(((Datos!L14/Datos!K14)*11)/factor_trimestre),((Datos!L14/Datos!K14)*11)/factor_trimestre," - ")</f>
        <v>6.2090045435770342</v>
      </c>
      <c r="BI14" s="1198">
        <f>IF(ISNUMBER('Resol  Asuntos'!D14/NºAsuntos!G14),'Resol  Asuntos'!D14/NºAsuntos!G14," - ")</f>
        <v>0.23278183916891113</v>
      </c>
      <c r="BJ14" s="1198" t="str">
        <f>IF(ISNUMBER(Datos!CI14/Datos!CJ14),Datos!CI14/Datos!CJ14," - ")</f>
        <v xml:space="preserve"> - </v>
      </c>
      <c r="BK14" s="1198">
        <f>SUBTOTAL(9,BK8:BK13)</f>
        <v>0</v>
      </c>
      <c r="BL14" s="1198">
        <f>IF(ISNUMBER((I14-AB14+L14)/(F14)),(I14-AB14+L14)/(F14)," - ")</f>
        <v>-0.43055555555555558</v>
      </c>
      <c r="BM14" s="1203">
        <f>SUBTOTAL(9,BM9:BM13)</f>
        <v>-6.3035241659153696E-2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1032.3636363636363</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511</v>
      </c>
      <c r="C16" s="749" t="str">
        <f>Datos!A16</f>
        <v xml:space="preserve">Jdos. Instrucción                               </v>
      </c>
      <c r="D16" s="750"/>
      <c r="E16" s="1555">
        <f>IF(ISNUMBER(Datos!AQ16),Datos!AQ16," - ")</f>
        <v>4</v>
      </c>
      <c r="F16" s="740">
        <f>IF(ISNUMBER(AF16+AB16-Datos!J16-L16),AF16+AB16-Datos!J16-L16," - ")</f>
        <v>1650</v>
      </c>
      <c r="G16" s="743">
        <f>IF(ISNUMBER(IF(D_I="SI",Datos!I16,Datos!I16+Datos!AC16)),IF(D_I="SI",Datos!I16,Datos!I16+Datos!AC16)," - ")</f>
        <v>1590</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68</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1771</v>
      </c>
      <c r="AC16" s="240">
        <f>IF(ISNUMBER(Datos!Q16),Datos!Q16," - ")</f>
        <v>163</v>
      </c>
      <c r="AD16" s="374"/>
      <c r="AE16" s="562"/>
      <c r="AF16" s="741">
        <f>IF(ISNUMBER(IF(D_I="SI",Datos!L16,Datos!L16+Datos!AF16)),IF(D_I="SI",Datos!L16,Datos!L16+Datos!AF16)," - ")</f>
        <v>1752</v>
      </c>
      <c r="AG16" s="374"/>
      <c r="AH16" s="374"/>
      <c r="AI16" s="374"/>
      <c r="AJ16" s="549"/>
      <c r="AK16" s="374"/>
      <c r="AL16" s="545"/>
      <c r="AM16" s="375">
        <f>IF(ISNUMBER(Datos!R16),Datos!R16," - ")</f>
        <v>301</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250</v>
      </c>
      <c r="BD16" s="243">
        <f>IF(ISNUMBER(Datos!N16),Datos!N16," - ")</f>
        <v>1031</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0.94554191137213028</v>
      </c>
      <c r="BH16" s="764">
        <f>IF(ISNUMBER(((IF(D_I="SI",Datos!L16/Datos!K16,(Datos!L16+Datos!AF16)/(Datos!K16+Datos!AE16)))*11)/factor_trimestre),((IF(D_I="SI",Datos!L16/Datos!K16,(Datos!L16+Datos!AF16)/(Datos!K16+Datos!AE16)))*11)/factor_trimestre," - ")</f>
        <v>1.9785431959345003</v>
      </c>
      <c r="BI16" s="266">
        <f>IF(ISNUMBER('Resol  Asuntos'!D16/NºAsuntos!G16),'Resol  Asuntos'!D16/NºAsuntos!G16," - ")</f>
        <v>0.1411631846414455</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600</v>
      </c>
    </row>
    <row r="17" spans="1:74" s="744" customFormat="1" ht="14.25">
      <c r="A17" s="736">
        <f>Datos!AO17</f>
        <v>0</v>
      </c>
      <c r="B17" s="737" t="s">
        <v>511</v>
      </c>
      <c r="C17" s="749" t="str">
        <f>Datos!A17</f>
        <v xml:space="preserve">Jdos. 1ª Instª. e Instr.                        </v>
      </c>
      <c r="D17" s="750"/>
      <c r="E17" s="1555">
        <f>IF(ISNUMBER(Datos!AQ17),Datos!AQ17," - ")</f>
        <v>0</v>
      </c>
      <c r="F17" s="740" t="str">
        <f>IF(ISNUMBER(AF17+AB17-Datos!J17-L17),AF17+AB17-Datos!J17-L17," - ")</f>
        <v xml:space="preserve"> - </v>
      </c>
      <c r="G17" s="743" t="str">
        <f>IF(ISNUMBER(IF(D_I="SI",Datos!I17,Datos!I17+Datos!AC17)),IF(D_I="SI",Datos!I17,Datos!I17+Datos!AC17)," - ")</f>
        <v xml:space="preserve"> - </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t="str">
        <f>IF(ISNUMBER(IF(D_I="SI",Datos!K17,Datos!K17+Datos!AE17)),IF(D_I="SI",Datos!K17,Datos!K17+Datos!AE17)," - ")</f>
        <v xml:space="preserve"> - </v>
      </c>
      <c r="AC17" s="240" t="str">
        <f>IF(ISNUMBER(Datos!Q17),Datos!Q17," - ")</f>
        <v xml:space="preserve"> - </v>
      </c>
      <c r="AD17" s="374"/>
      <c r="AE17" s="562"/>
      <c r="AF17" s="741" t="str">
        <f>IF(ISNUMBER(IF(D_I="SI",Datos!L17,Datos!L17+Datos!AF17)),IF(D_I="SI",Datos!L17,Datos!L17+Datos!AF17)," - ")</f>
        <v xml:space="preserve"> - </v>
      </c>
      <c r="AG17" s="374"/>
      <c r="AH17" s="374"/>
      <c r="AI17" s="374"/>
      <c r="AJ17" s="549"/>
      <c r="AK17" s="374"/>
      <c r="AL17" s="545"/>
      <c r="AM17" s="375" t="str">
        <f>IF(ISNUMBER(Datos!R17),Datos!R17," - ")</f>
        <v xml:space="preserve"> - </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t="str">
        <f>IF(ISNUMBER(Datos!M17),Datos!M17," - ")</f>
        <v xml:space="preserve"> - </v>
      </c>
      <c r="BD17" s="243" t="str">
        <f>IF(ISNUMBER(Datos!N17),Datos!N17," - ")</f>
        <v xml:space="preserve"> - </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181.81818181818181</v>
      </c>
    </row>
    <row r="18" spans="1:74" s="578" customFormat="1" ht="14.25">
      <c r="A18" s="745">
        <f>Datos!AO18</f>
        <v>1</v>
      </c>
      <c r="B18" s="746" t="s">
        <v>511</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125</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211</v>
      </c>
      <c r="AC18" s="547">
        <f>IF(ISNUMBER(Datos!Q18),Datos!Q18," - ")</f>
        <v>1</v>
      </c>
      <c r="AD18" s="549"/>
      <c r="AE18" s="562"/>
      <c r="AF18" s="551">
        <f>IF(ISNUMBER(Datos!L18),Datos!L18,"-")</f>
        <v>141</v>
      </c>
      <c r="AG18" s="549"/>
      <c r="AH18" s="549"/>
      <c r="AI18" s="549"/>
      <c r="AJ18" s="549"/>
      <c r="AK18" s="549"/>
      <c r="AL18" s="550"/>
      <c r="AM18" s="766">
        <f>IF(ISNUMBER(Datos!R18),Datos!R18," - ")</f>
        <v>4</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20</v>
      </c>
      <c r="BD18" s="693">
        <f>IF(ISNUMBER(Datos!N18),Datos!N18," - ")</f>
        <v>108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0.92951541850220265</v>
      </c>
      <c r="BH18" s="764">
        <f>IF(ISNUMBER(((IF(D_I="SI",Datos!L18/Datos!K18,(Datos!L18+Datos!AF18)/(Datos!K18+Datos!AE18)))*11)/factor_trimestre),((IF(D_I="SI",Datos!L18/Datos!K18,(Datos!L18+Datos!AF18)/(Datos!K18+Datos!AE18)))*11)/factor_trimestre," - ")</f>
        <v>1.3364928909952607</v>
      </c>
      <c r="BI18" s="763">
        <f>IF(ISNUMBER('Resol  Asuntos'!D18/NºAsuntos!G18),'Resol  Asuntos'!D18/NºAsuntos!G18," - ")</f>
        <v>9.4786729857819899E-2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290.90909090909093</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159.09090909090909</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952.72727272727275</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72.727272727272734</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436.36363636363637</v>
      </c>
    </row>
    <row r="23" spans="1:74" ht="15.75" thickTop="1" thickBot="1">
      <c r="A23" s="191"/>
      <c r="B23" s="191"/>
      <c r="C23" s="1160" t="str">
        <f>Datos!A23</f>
        <v>TOTAL</v>
      </c>
      <c r="D23" s="1196"/>
      <c r="E23" s="1554">
        <f>SUBTOTAL(9,E16:E22)</f>
        <v>5</v>
      </c>
      <c r="F23" s="1197">
        <f>SUBTOTAL(9,F16:F22)</f>
        <v>1650</v>
      </c>
      <c r="G23" s="1197">
        <f>SUBTOTAL(9,G16:G22)</f>
        <v>1715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1982</v>
      </c>
      <c r="AC23" s="1198">
        <f t="shared" si="5"/>
        <v>164</v>
      </c>
      <c r="AD23" s="1198">
        <f t="shared" si="5"/>
        <v>0</v>
      </c>
      <c r="AE23" s="1198">
        <f t="shared" si="5"/>
        <v>0</v>
      </c>
      <c r="AF23" s="1198">
        <f t="shared" si="5"/>
        <v>1893</v>
      </c>
      <c r="AG23" s="1198">
        <f t="shared" si="5"/>
        <v>0</v>
      </c>
      <c r="AH23" s="1198">
        <f t="shared" si="5"/>
        <v>0</v>
      </c>
      <c r="AI23" s="1198">
        <f t="shared" si="5"/>
        <v>0</v>
      </c>
      <c r="AJ23" s="1198">
        <f t="shared" si="5"/>
        <v>0</v>
      </c>
      <c r="AK23" s="1198">
        <f t="shared" si="5"/>
        <v>0</v>
      </c>
      <c r="AL23" s="1198">
        <f t="shared" si="5"/>
        <v>0</v>
      </c>
      <c r="AM23" s="1198">
        <f t="shared" si="5"/>
        <v>305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270</v>
      </c>
      <c r="BD23" s="1198">
        <f t="shared" si="5"/>
        <v>1139</v>
      </c>
      <c r="BE23" s="1198">
        <f t="shared" si="5"/>
        <v>0</v>
      </c>
      <c r="BF23" s="1198">
        <f t="shared" si="5"/>
        <v>0</v>
      </c>
      <c r="BG23" s="1198">
        <f>IF(ISNUMBER(Datos!K23/Datos!J23),Datos!K23/Datos!J23," - ")</f>
        <v>0.94380952380952376</v>
      </c>
      <c r="BH23" s="1202">
        <f>IF(ISNUMBER(((Datos!L23/Datos!K23)*11)/factor_trimestre),((Datos!L23/Datos!K23)*11)/factor_trimestre," - ")</f>
        <v>1.910191725529768</v>
      </c>
      <c r="BI23" s="1198">
        <f>SUBTOTAL(9,BI16:BI22)</f>
        <v>0.23594991449926539</v>
      </c>
      <c r="BJ23" s="1198">
        <f>SUBTOTAL(9,BJ16:BJ22)</f>
        <v>0</v>
      </c>
      <c r="BK23" s="1198">
        <f>SUBTOTAL(9,BK16:BK22)</f>
        <v>0</v>
      </c>
      <c r="BL23" s="1198">
        <f>IF(ISNUMBER((I23-AB23+L23)/(F23)),(I23-AB23+L23)/(F23)," - ")</f>
        <v>-1.2012121212121212</v>
      </c>
      <c r="BM23" s="1205">
        <f>IF(ISNUMBER((Datos!P23-Datos!Q23)/(Datos!R23-Datos!P23+Datos!Q23)),(Datos!P23-Datos!Q23)/(Datos!R23-Datos!P23+Datos!Q23)," - ")</f>
        <v>-0.23558897243107768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2693.6363636363635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103.63636363636364</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103.63636363636364</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145.45454545454547</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636.36363636363637</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885.4545454545455</v>
      </c>
    </row>
    <row r="31" spans="1:74" ht="18.75" customHeight="1" thickTop="1" thickBot="1">
      <c r="A31" s="185"/>
      <c r="B31" s="185"/>
      <c r="C31" s="1115" t="str">
        <f>Datos!A31</f>
        <v>TOTAL JURISDICCIONES</v>
      </c>
      <c r="D31" s="1115"/>
      <c r="E31" s="1556">
        <f t="shared" ref="E31:R31" si="18">SUBTOTAL(9,E9:E30)</f>
        <v>15</v>
      </c>
      <c r="F31" s="1117">
        <f t="shared" si="18"/>
        <v>1722</v>
      </c>
      <c r="G31" s="1117">
        <f t="shared" si="18"/>
        <v>1787</v>
      </c>
      <c r="H31" s="1119">
        <f t="shared" si="18"/>
        <v>0</v>
      </c>
      <c r="I31" s="1117">
        <f t="shared" si="18"/>
        <v>0</v>
      </c>
      <c r="J31" s="1119">
        <f t="shared" si="18"/>
        <v>0</v>
      </c>
      <c r="K31" s="1119">
        <f t="shared" si="18"/>
        <v>0</v>
      </c>
      <c r="L31" s="1180">
        <f t="shared" si="18"/>
        <v>0</v>
      </c>
      <c r="M31" s="1180">
        <f t="shared" si="18"/>
        <v>0</v>
      </c>
      <c r="N31" s="1180">
        <f t="shared" si="18"/>
        <v>179</v>
      </c>
      <c r="O31" s="1180">
        <f t="shared" si="18"/>
        <v>0</v>
      </c>
      <c r="P31" s="1180">
        <f t="shared" si="18"/>
        <v>0</v>
      </c>
      <c r="Q31" s="1119">
        <f t="shared" si="18"/>
        <v>784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2013</v>
      </c>
      <c r="AC31" s="1118">
        <f t="shared" si="19"/>
        <v>2022</v>
      </c>
      <c r="AD31" s="1118">
        <f t="shared" si="19"/>
        <v>0</v>
      </c>
      <c r="AE31" s="1118">
        <f t="shared" si="19"/>
        <v>0</v>
      </c>
      <c r="AF31" s="1125">
        <f t="shared" si="19"/>
        <v>1960</v>
      </c>
      <c r="AG31" s="1125">
        <f t="shared" si="19"/>
        <v>0</v>
      </c>
      <c r="AH31" s="1125">
        <f t="shared" si="19"/>
        <v>308</v>
      </c>
      <c r="AI31" s="1125">
        <f t="shared" si="19"/>
        <v>0</v>
      </c>
      <c r="AJ31" s="1118">
        <f t="shared" si="19"/>
        <v>0</v>
      </c>
      <c r="AK31" s="1125">
        <f t="shared" si="19"/>
        <v>0</v>
      </c>
      <c r="AL31" s="1125">
        <f t="shared" si="19"/>
        <v>0</v>
      </c>
      <c r="AM31" s="1125">
        <f t="shared" si="19"/>
        <v>13971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875</v>
      </c>
      <c r="BD31" s="1117">
        <f t="shared" si="19"/>
        <v>2335</v>
      </c>
      <c r="BE31" s="1117">
        <f t="shared" si="19"/>
        <v>0</v>
      </c>
      <c r="BF31" s="1127">
        <f t="shared" si="19"/>
        <v>0</v>
      </c>
      <c r="BG31" s="1223">
        <f>IF(ISNUMBER(Datos!K31/Datos!J31),Datos!K31/Datos!J31," - ")</f>
        <v>0.9155749636098981</v>
      </c>
      <c r="BH31" s="1223">
        <f>IF(ISNUMBER(((Datos!L31/Datos!K31)*11)/factor_trimestre),((Datos!L31/Datos!K31)*11)/factor_trimestre," - ")</f>
        <v>4.2739041562570979</v>
      </c>
      <c r="BI31" s="1103">
        <f>IF(ISNUMBER(Datos!J31/Datos!I31),Datos!J31/Datos!I31," - ")</f>
        <v>0.53791946308724836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-1.1689895470383276</v>
      </c>
      <c r="BM31" s="1188">
        <f>IF(ISNUMBER((Datos!P31-Datos!Q31+R31)/(Datos!R31-Datos!P31+Datos!Q31-R31)),(Datos!P31-Datos!Q31+R31)/(Datos!R31-Datos!P31+Datos!Q31-R31)," - ")</f>
        <v>-8.1399171543165227E-2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4611.454545454545</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510.57142857142856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2.8735535390036615</v>
      </c>
      <c r="F33" s="673">
        <f>IF(ISNUMBER(STDEV(F8:F30)),STDEV(F8:F30),"-")</f>
        <v>834.08776516623243</v>
      </c>
      <c r="G33" s="674">
        <f>IF(ISNUMBER(STDEV(G8:G30)),STDEV(G8:G30),"-")</f>
        <v>782.14829308830713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894.02487448083696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219.87445913015404</v>
      </c>
      <c r="BD33" s="673"/>
      <c r="BE33" s="673">
        <f>IF(ISNUMBER(STDEV(BE8:BE30)),STDEV(BE8:BE30),"-")</f>
        <v>0</v>
      </c>
      <c r="BF33" s="678">
        <f>IF(ISNUMBER(STDEV(BF8:BF30)),STDEV(BF8:BF30),"-")</f>
        <v>0</v>
      </c>
      <c r="BG33" s="1052">
        <f>IF(ISNUMBER(STDEV(BG8:BG30)),STDEV(BG8:BG30),"-")</f>
        <v>0.10480127769528905</v>
      </c>
      <c r="BH33" s="1058">
        <f>IF(ISNUMBER(STDEV(BH8:BH30)),STDEV(BH8:BH30),"-")</f>
        <v>2.2831892923875619</v>
      </c>
      <c r="BI33" s="273">
        <f>IF(ISNUMBER(STDEV(BI8:BI30)),STDEV(BI8:BI30),"-")</f>
        <v>6.9826576343379507E-2</v>
      </c>
      <c r="BJ33" s="244" t="str">
        <f>IF(ISNUMBER(BL33/BM33),BL33/BM33," - ")</f>
        <v xml:space="preserve"> - </v>
      </c>
      <c r="BK33" s="709"/>
      <c r="BL33" s="681">
        <f>IF(ISNUMBER(STDEV(BL8:BL30)),STDEV(BL8:BL30),"-")</f>
        <v>0.54493648354169344</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615.17955923221598</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7KjGMvW8hEVB5WNwCsMkLfZYIoJalQLCkh966lDNGXwr56qkPRIP5wivoTL44xm2Fdp8chDA5N5FRyLXs/hJZQ==" saltValue="XlDmhnZoNTleIlb8a3xmK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TERRASSA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3 al 3</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7</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640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1797</v>
      </c>
      <c r="AA9" s="551" t="str">
        <f>IF(ISNUMBER(IF(J_V="SI",Datos!L9,Datos!L9+Datos!AB9)-IF(Monitorios="SI",Datos!CD9,0)),
                          IF(J_V="SI",Datos!L9,Datos!L9+Datos!AB9)-IF(Monitorios="SI",Datos!CD9,0),
                          " - ")</f>
        <v xml:space="preserve"> - </v>
      </c>
      <c r="AB9" s="549"/>
      <c r="AC9" s="549"/>
      <c r="AD9" s="563"/>
      <c r="AE9" s="563">
        <f>IF(ISNUMBER(Datos!R9),Datos!R9," - ")</f>
        <v>12782</v>
      </c>
      <c r="AF9" s="693" t="str">
        <f>IF(ISNUMBER(Datos!BV9),Datos!BV9," - ")</f>
        <v xml:space="preserve"> - </v>
      </c>
      <c r="AG9" s="552" t="str">
        <f>IF(ISNUMBER(Datos!DV9),Datos!DV9," - ")</f>
        <v xml:space="preserve"> - </v>
      </c>
      <c r="AH9" s="553"/>
      <c r="AI9" s="554"/>
      <c r="AJ9" s="552">
        <f>IF(ISNUMBER(Datos!M9),Datos!M9," - ")</f>
        <v>453</v>
      </c>
      <c r="AK9" s="693">
        <f>IF(ISNUMBER(Datos!N9),Datos!N9," - ")</f>
        <v>992</v>
      </c>
      <c r="AL9" s="693" t="str">
        <f>IF(ISNUMBER(Datos!BW9),Datos!BW9," - ")</f>
        <v xml:space="preserve"> - </v>
      </c>
      <c r="AM9" s="762" t="str">
        <f>IF(ISNUMBER(Datos!BX9),Datos!BX9," - ")</f>
        <v xml:space="preserve"> - </v>
      </c>
      <c r="AN9" s="763"/>
      <c r="AO9" s="764">
        <f>IF(ISNUMBER(((NºAsuntos!I9/NºAsuntos!G9)*11)/factor_trimestre),((NºAsuntos!I9/NºAsuntos!G9)*11)/factor_trimestre," - ")</f>
        <v>5.9350411710887467</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-8.3004519692947851E-2</v>
      </c>
      <c r="AS9" s="748"/>
      <c r="AT9" s="748"/>
      <c r="AU9" s="717" t="str">
        <f>IF(ISNUMBER(Datos!EV9),Datos!EV9," - ")</f>
        <v xml:space="preserve"> - </v>
      </c>
      <c r="AV9" s="717" t="str">
        <f>IF(ISNUMBER(Datos!CW9),Datos!CW9," - ")</f>
        <v xml:space="preserve"> - </v>
      </c>
      <c r="AW9" s="717">
        <f>Datos!CX9</f>
        <v>0</v>
      </c>
      <c r="AX9" s="821">
        <f>Datos!DU9</f>
        <v>0</v>
      </c>
      <c r="BU9" s="1380">
        <f>Datos!ER9/factor_trimestre</f>
        <v>218.18181818181819</v>
      </c>
    </row>
    <row r="10" spans="1:73" s="578" customFormat="1" ht="14.25">
      <c r="A10" s="745">
        <f>Datos!AO10</f>
        <v>1</v>
      </c>
      <c r="B10" s="746" t="s">
        <v>321</v>
      </c>
      <c r="C10" s="747" t="str">
        <f>Datos!A10</f>
        <v>Jdos. Violencia contra la mujer</v>
      </c>
      <c r="D10" s="601"/>
      <c r="E10" s="1558">
        <f>IF(ISNUMBER(Datos!AQ10),Datos!AQ10," - ")</f>
        <v>1</v>
      </c>
      <c r="F10" s="552">
        <f>IF(ISNUMBER(Datos!L10+Datos!K10-Datos!J10),Datos!L10+Datos!K10-Datos!J10," - ")</f>
        <v>72</v>
      </c>
      <c r="G10" s="552">
        <f>IF(ISNUMBER(Datos!I10),Datos!I10," - ")</f>
        <v>72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31</v>
      </c>
      <c r="Z10" s="805">
        <f>IF(ISNUMBER(Datos!Q10),Datos!Q10," - ")</f>
        <v>4</v>
      </c>
      <c r="AA10" s="551">
        <f>IF(ISNUMBER(Datos!L10),Datos!L10,"-")</f>
        <v>67</v>
      </c>
      <c r="AB10" s="549"/>
      <c r="AC10" s="549"/>
      <c r="AD10" s="563"/>
      <c r="AE10" s="563">
        <f>IF(ISNUMBER(Datos!R10),Datos!R10," - ")</f>
        <v>220</v>
      </c>
      <c r="AF10" s="693" t="str">
        <f>IF(ISNUMBER(Datos!BV10),Datos!BV10," - ")</f>
        <v xml:space="preserve"> - </v>
      </c>
      <c r="AG10" s="552" t="str">
        <f>IF(ISNUMBER(Datos!DV10),Datos!DV10," - ")</f>
        <v xml:space="preserve"> - </v>
      </c>
      <c r="AH10" s="553"/>
      <c r="AI10" s="554"/>
      <c r="AJ10" s="552">
        <f>IF(ISNUMBER(Datos!M10),Datos!M10," - ")</f>
        <v>11</v>
      </c>
      <c r="AK10" s="693">
        <f>IF(ISNUMBER(Datos!N10),Datos!N10," - ")</f>
        <v>15</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4.32258064516129</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290.90909090909093</v>
      </c>
    </row>
    <row r="11" spans="1:73" s="578" customFormat="1" ht="14.25">
      <c r="A11" s="745">
        <f>Datos!AO11</f>
        <v>2</v>
      </c>
      <c r="B11" s="746" t="s">
        <v>321</v>
      </c>
      <c r="C11" s="747" t="str">
        <f>Datos!A11</f>
        <v xml:space="preserve">Jdos. Familia                                   </v>
      </c>
      <c r="D11" s="601"/>
      <c r="E11" s="1558">
        <f>IF(ISNUMBER(Datos!AQ11),Datos!AQ11," - ")</f>
        <v>2</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70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57</v>
      </c>
      <c r="AA11" s="551" t="str">
        <f>IF(ISNUMBER(IF(J_V="SI",Datos!L11,Datos!L11+Datos!AB11)-IF(Monitorios="SI",Datos!CD11,0)),
                          IF(J_V="SI",Datos!L11,Datos!L11+Datos!AB11)-IF(Monitorios="SI",Datos!CD11,0),
                          " - ")</f>
        <v xml:space="preserve"> - </v>
      </c>
      <c r="AB11" s="549"/>
      <c r="AC11" s="549"/>
      <c r="AD11" s="563"/>
      <c r="AE11" s="563">
        <f>IF(ISNUMBER(Datos!R11),Datos!R11," - ")</f>
        <v>664</v>
      </c>
      <c r="AF11" s="693" t="str">
        <f>IF(ISNUMBER(Datos!BV11),Datos!BV11," - ")</f>
        <v xml:space="preserve"> - </v>
      </c>
      <c r="AG11" s="552" t="str">
        <f>IF(ISNUMBER(Datos!DV11),Datos!DV11," - ")</f>
        <v xml:space="preserve"> - </v>
      </c>
      <c r="AH11" s="553"/>
      <c r="AI11" s="554"/>
      <c r="AJ11" s="552">
        <f>IF(ISNUMBER(Datos!M11),Datos!M11," - ")</f>
        <v>141</v>
      </c>
      <c r="AK11" s="693">
        <f>IF(ISNUMBER(Datos!N11),Datos!N11," - ")</f>
        <v>189</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6.6492146596858639</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1.9969278033794162E-2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240.54545454545453</v>
      </c>
    </row>
    <row r="12" spans="1:73" s="578" customFormat="1" ht="14.25">
      <c r="A12" s="745">
        <f>Datos!AO12</f>
        <v>0</v>
      </c>
      <c r="B12" s="746" t="s">
        <v>321</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t="str">
        <f>IF(ISNUMBER(Datos!Q12),Datos!Q12," - ")</f>
        <v xml:space="preserve"> - </v>
      </c>
      <c r="AA12" s="551" t="str">
        <f>IF(ISNUMBER(IF(J_V="SI",Datos!L12,Datos!L12+Datos!AB12)-IF(Monitorios="SI",Datos!CD12,0)),
                          IF(J_V="SI",Datos!L12,Datos!L12+Datos!AB12)-IF(Monitorios="SI",Datos!CD12,0),
                          " - ")</f>
        <v xml:space="preserve"> - </v>
      </c>
      <c r="AB12" s="549"/>
      <c r="AC12" s="549"/>
      <c r="AD12" s="563"/>
      <c r="AE12" s="563" t="str">
        <f>IF(ISNUMBER(Datos!R12),Datos!R12," - ")</f>
        <v xml:space="preserve"> - </v>
      </c>
      <c r="AF12" s="693" t="str">
        <f>IF(ISNUMBER(Datos!BV12),Datos!BV12," - ")</f>
        <v xml:space="preserve"> - </v>
      </c>
      <c r="AG12" s="552" t="str">
        <f>IF(ISNUMBER(Datos!DV12),Datos!DV12," - ")</f>
        <v xml:space="preserve"> - </v>
      </c>
      <c r="AH12" s="553"/>
      <c r="AI12" s="554"/>
      <c r="AJ12" s="552" t="str">
        <f>IF(ISNUMBER(Datos!M12),Datos!M12," - ")</f>
        <v xml:space="preserve"> - </v>
      </c>
      <c r="AK12" s="693" t="str">
        <f>IF(ISNUMBER(Datos!N12),Datos!N12," - ")</f>
        <v xml:space="preserve"> - </v>
      </c>
      <c r="AL12" s="693" t="str">
        <f>IF(ISNUMBER(Datos!BW12),Datos!BW12," - ")</f>
        <v xml:space="preserve"> - </v>
      </c>
      <c r="AM12" s="762" t="str">
        <f>IF(ISNUMBER(Datos!BX12),Datos!BX12," - ")</f>
        <v xml:space="preserve"> - </v>
      </c>
      <c r="AN12" s="763"/>
      <c r="AO12" s="764" t="str">
        <f>IF(ISNUMBER(((NºAsuntos!I12/NºAsuntos!G12)*11)/factor_trimestre),((NºAsuntos!I12/NºAsuntos!G12)*11)/factor_trimestre," - ")</f>
        <v xml:space="preserve"> - </v>
      </c>
      <c r="AP12" s="555" t="str">
        <f>IF(ISNUMBER(Datos!CI12/Datos!CJ12),Datos!CI12/Datos!CJ12," - ")</f>
        <v xml:space="preserve"> - </v>
      </c>
      <c r="AQ12" s="555" t="str">
        <f>IF(ISNUMBER((J12-Y12+K12)/(F12)),(J12-Y12+K12)/(F12)," - ")</f>
        <v xml:space="preserve"> - </v>
      </c>
      <c r="AR12" s="555" t="str">
        <f>IF(ISNUMBER((Datos!P12-Datos!Q12+Datos!DE12)/(Datos!R12-Datos!P12+Datos!Q12-Datos!DE12)),(Datos!P12-Datos!Q12+Datos!DE12)/(Datos!R12-Datos!P12+Datos!Q12-Datos!DE12)," - ")</f>
        <v xml:space="preserve"> - </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123.63636363636364</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159.09090909090909</v>
      </c>
    </row>
    <row r="14" spans="1:73" ht="15.75" thickTop="1" thickBot="1">
      <c r="A14" s="191"/>
      <c r="B14" s="191"/>
      <c r="C14" s="1160" t="str">
        <f>Datos!A14</f>
        <v>TOTAL</v>
      </c>
      <c r="D14" s="1160"/>
      <c r="E14" s="1197">
        <f>SUBTOTAL(9,E8:E13)</f>
        <v>10</v>
      </c>
      <c r="F14" s="1197">
        <f>SUBTOTAL(9,F8:F13)</f>
        <v>72</v>
      </c>
      <c r="G14" s="1197">
        <f>SUBTOTAL(9,G8:G13)</f>
        <v>72</v>
      </c>
      <c r="H14" s="1211"/>
      <c r="I14" s="1197">
        <f t="shared" ref="I14:N14" si="1">SUBTOTAL(9,I8:I13)</f>
        <v>0</v>
      </c>
      <c r="J14" s="1164">
        <f t="shared" si="1"/>
        <v>0</v>
      </c>
      <c r="K14" s="1211">
        <f t="shared" si="1"/>
        <v>0</v>
      </c>
      <c r="L14" s="1211">
        <f t="shared" si="1"/>
        <v>0</v>
      </c>
      <c r="M14" s="1211">
        <f t="shared" si="1"/>
        <v>0</v>
      </c>
      <c r="N14" s="1211">
        <f t="shared" si="1"/>
        <v>714</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31</v>
      </c>
      <c r="Z14" s="1210">
        <f t="shared" si="3"/>
        <v>1858</v>
      </c>
      <c r="AA14" s="1199">
        <f t="shared" si="3"/>
        <v>67</v>
      </c>
      <c r="AB14" s="1199">
        <f t="shared" si="3"/>
        <v>0</v>
      </c>
      <c r="AC14" s="1199">
        <f t="shared" si="3"/>
        <v>0</v>
      </c>
      <c r="AD14" s="1199">
        <f t="shared" si="3"/>
        <v>0</v>
      </c>
      <c r="AE14" s="1199">
        <f t="shared" si="3"/>
        <v>13666</v>
      </c>
      <c r="AF14" s="1211">
        <f t="shared" si="3"/>
        <v>0</v>
      </c>
      <c r="AG14" s="1211">
        <f t="shared" si="3"/>
        <v>0</v>
      </c>
      <c r="AH14" s="1211">
        <f t="shared" si="3"/>
        <v>0</v>
      </c>
      <c r="AI14" s="1211">
        <f t="shared" si="3"/>
        <v>0</v>
      </c>
      <c r="AJ14" s="1211">
        <f t="shared" si="3"/>
        <v>605</v>
      </c>
      <c r="AK14" s="1211">
        <f t="shared" si="3"/>
        <v>1196</v>
      </c>
      <c r="AL14" s="1211">
        <f t="shared" si="3"/>
        <v>0</v>
      </c>
      <c r="AM14" s="1211">
        <f t="shared" si="3"/>
        <v>0</v>
      </c>
      <c r="AN14" s="1211">
        <f t="shared" si="3"/>
        <v>0</v>
      </c>
      <c r="AO14" s="1203">
        <f>IF(ISNUMBER(((NºAsuntos!I14/NºAsuntos!G14)*11)/factor_trimestre),((NºAsuntos!I14/NºAsuntos!G14)*11)/factor_trimestre," - ")</f>
        <v>6.0207772220084648</v>
      </c>
      <c r="AP14" s="1213" t="str">
        <f>IF(ISNUMBER(Datos!CI14/Datos!CJ14),Datos!CI14/Datos!CJ14," - ")</f>
        <v xml:space="preserve"> - </v>
      </c>
      <c r="AQ14" s="1236">
        <f t="shared" ref="AQ14:AV14" si="4">SUBTOTAL(9,AQ9:AQ13)</f>
        <v>0</v>
      </c>
      <c r="AR14" s="1236">
        <f t="shared" si="4"/>
        <v>-6.3035241659153696E-2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511</v>
      </c>
      <c r="C16" s="765" t="str">
        <f>Datos!A16</f>
        <v xml:space="preserve">Jdos. Instrucción                               </v>
      </c>
      <c r="D16" s="593"/>
      <c r="E16" s="1558">
        <f>IF(ISNUMBER(Datos!AQ16),Datos!AQ16," - ")</f>
        <v>4</v>
      </c>
      <c r="F16" s="543">
        <f>IF(ISNUMBER(AA16+Y16-Datos!J16-K16),AA16+Y16-Datos!J16-K16," - ")</f>
        <v>1650</v>
      </c>
      <c r="G16" s="552">
        <f>IF(ISNUMBER(IF(D_I="SI",Datos!I16,Datos!I16+Datos!AC16)),IF(D_I="SI",Datos!I16,Datos!I16+Datos!AC16)," - ")</f>
        <v>1590</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68</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1771</v>
      </c>
      <c r="Z16" s="805">
        <f>IF(ISNUMBER(Datos!Q16),Datos!Q16," - ")</f>
        <v>163</v>
      </c>
      <c r="AA16" s="551">
        <f>IF(ISNUMBER(IF(D_I="SI",Datos!L16,Datos!L16+Datos!AF16)),IF(D_I="SI",Datos!L16,Datos!L16+Datos!AF16)," - ")</f>
        <v>1752</v>
      </c>
      <c r="AB16" s="549"/>
      <c r="AC16" s="549"/>
      <c r="AD16" s="563"/>
      <c r="AE16" s="563">
        <f>IF(ISNUMBER(Datos!R16),Datos!R16," - ")</f>
        <v>301</v>
      </c>
      <c r="AF16" s="693" t="str">
        <f>IF(ISNUMBER(Datos!BV16),Datos!BV16," - ")</f>
        <v xml:space="preserve"> - </v>
      </c>
      <c r="AG16" s="552"/>
      <c r="AH16" s="553"/>
      <c r="AI16" s="554"/>
      <c r="AJ16" s="552">
        <f>IF(ISNUMBER(Datos!M16),Datos!M16," - ")</f>
        <v>250</v>
      </c>
      <c r="AK16" s="693">
        <f>IF(ISNUMBER(Datos!N16),Datos!N16," - ")</f>
        <v>1031</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1.9785431959345003</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600</v>
      </c>
    </row>
    <row r="17" spans="1:73" s="578" customFormat="1" ht="14.25">
      <c r="A17" s="745">
        <f>Datos!AO17</f>
        <v>0</v>
      </c>
      <c r="B17" s="746" t="s">
        <v>511</v>
      </c>
      <c r="C17" s="765" t="str">
        <f>Datos!A17</f>
        <v xml:space="preserve">Jdos. 1ª Instª. e Instr.                        </v>
      </c>
      <c r="D17" s="593"/>
      <c r="E17" s="1558">
        <f>IF(ISNUMBER(Datos!AQ17),Datos!AQ17," - ")</f>
        <v>0</v>
      </c>
      <c r="F17" s="543" t="str">
        <f>IF(ISNUMBER(AA17+Y17-Datos!J17-K16),AA17+Y17-Datos!J17-K16," - ")</f>
        <v xml:space="preserve"> - </v>
      </c>
      <c r="G17" s="552" t="str">
        <f>IF(ISNUMBER(IF(D_I="SI",Datos!I17,Datos!I17+Datos!AC17)),IF(D_I="SI",Datos!I17,Datos!I17+Datos!AC17)," - ")</f>
        <v xml:space="preserve"> - </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t="str">
        <f>IF(ISNUMBER(IF(D_I="SI",Datos!K17,Datos!K17+Datos!AE17)),IF(D_I="SI",Datos!K17,Datos!K17+Datos!AE17)," - ")</f>
        <v xml:space="preserve"> - </v>
      </c>
      <c r="Z17" s="805" t="str">
        <f>IF(ISNUMBER(Datos!Q17),Datos!Q17," - ")</f>
        <v xml:space="preserve"> - </v>
      </c>
      <c r="AA17" s="551" t="str">
        <f>IF(ISNUMBER(IF(D_I="SI",Datos!L17,Datos!L17+Datos!AF17)),IF(D_I="SI",Datos!L17,Datos!L17+Datos!AF17)," - ")</f>
        <v xml:space="preserve"> - </v>
      </c>
      <c r="AB17" s="549"/>
      <c r="AC17" s="549"/>
      <c r="AD17" s="563"/>
      <c r="AE17" s="563" t="str">
        <f>IF(ISNUMBER(Datos!R17),Datos!R17," - ")</f>
        <v xml:space="preserve"> - </v>
      </c>
      <c r="AF17" s="693" t="str">
        <f>IF(ISNUMBER(Datos!BV17),Datos!BV17," - ")</f>
        <v xml:space="preserve"> - </v>
      </c>
      <c r="AG17" s="552"/>
      <c r="AH17" s="553"/>
      <c r="AI17" s="554"/>
      <c r="AJ17" s="552" t="str">
        <f>IF(ISNUMBER(Datos!M17),Datos!M17," - ")</f>
        <v xml:space="preserve"> - </v>
      </c>
      <c r="AK17" s="693" t="str">
        <f>IF(ISNUMBER(Datos!N17),Datos!N17," - ")</f>
        <v xml:space="preserve"> - </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181.81818181818181</v>
      </c>
    </row>
    <row r="18" spans="1:73" s="578" customFormat="1" ht="14.25">
      <c r="A18" s="745">
        <f>Datos!AO18</f>
        <v>1</v>
      </c>
      <c r="B18" s="746" t="s">
        <v>511</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125</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211</v>
      </c>
      <c r="Z18" s="805">
        <f>IF(ISNUMBER(Datos!Q18),Datos!Q18," - ")</f>
        <v>1</v>
      </c>
      <c r="AA18" s="551">
        <f>IF(ISNUMBER(Datos!L18),Datos!L18,"-")</f>
        <v>141</v>
      </c>
      <c r="AB18" s="549"/>
      <c r="AC18" s="549"/>
      <c r="AD18" s="563"/>
      <c r="AE18" s="563">
        <f>IF(ISNUMBER(Datos!R18),Datos!R18," - ")</f>
        <v>4</v>
      </c>
      <c r="AF18" s="693" t="str">
        <f>IF(ISNUMBER(Datos!BV18),Datos!BV18," - ")</f>
        <v xml:space="preserve"> - </v>
      </c>
      <c r="AG18" s="552" t="str">
        <f>IF(ISNUMBER(Datos!DV18),Datos!DV18," - ")</f>
        <v xml:space="preserve"> - </v>
      </c>
      <c r="AH18" s="553"/>
      <c r="AI18" s="554"/>
      <c r="AJ18" s="552">
        <f>IF(ISNUMBER(Datos!M18),Datos!M18," - ")</f>
        <v>20</v>
      </c>
      <c r="AK18" s="693">
        <f>IF(ISNUMBER(Datos!N18),Datos!N18," - ")</f>
        <v>108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1.3364928909952607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290.90909090909093</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159.09090909090909</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952.72727272727275</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72.727272727272734</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436.36363636363637</v>
      </c>
    </row>
    <row r="23" spans="1:73" ht="15.75" thickTop="1" thickBot="1">
      <c r="A23" s="191"/>
      <c r="B23" s="191"/>
      <c r="C23" s="1160" t="str">
        <f>Datos!A23</f>
        <v>TOTAL</v>
      </c>
      <c r="D23" s="1160"/>
      <c r="E23" s="1559">
        <f>SUBTOTAL(9,E16:E22)</f>
        <v>5</v>
      </c>
      <c r="F23" s="1197">
        <f>SUBTOTAL(9,F16:F22)</f>
        <v>1650</v>
      </c>
      <c r="G23" s="1197">
        <f>SUBTOTAL(9,G16:G22)</f>
        <v>1715</v>
      </c>
      <c r="H23" s="1240">
        <f>SUBTOTAL(9,H16:H22)</f>
        <v>0</v>
      </c>
      <c r="I23" s="1217">
        <f>SUBTOTAL(9,I16:I22)</f>
        <v>0</v>
      </c>
      <c r="J23" s="1164">
        <f>SUBTOTAL(9,J15:J22)</f>
        <v>0</v>
      </c>
      <c r="K23" s="1240">
        <f t="shared" ref="K23:S23" si="5">SUBTOTAL(9,K16:K22)</f>
        <v>0</v>
      </c>
      <c r="L23" s="1240">
        <f t="shared" si="5"/>
        <v>0</v>
      </c>
      <c r="M23" s="1240">
        <f t="shared" si="5"/>
        <v>0</v>
      </c>
      <c r="N23" s="1240">
        <f t="shared" si="5"/>
        <v>70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1982</v>
      </c>
      <c r="Z23" s="1240">
        <f t="shared" si="6"/>
        <v>164</v>
      </c>
      <c r="AA23" s="1240">
        <f t="shared" si="6"/>
        <v>1893</v>
      </c>
      <c r="AB23" s="1240">
        <f t="shared" si="6"/>
        <v>0</v>
      </c>
      <c r="AC23" s="1240">
        <f t="shared" si="6"/>
        <v>0</v>
      </c>
      <c r="AD23" s="1240">
        <f t="shared" si="6"/>
        <v>0</v>
      </c>
      <c r="AE23" s="1240">
        <f t="shared" si="6"/>
        <v>305</v>
      </c>
      <c r="AF23" s="1240">
        <f t="shared" si="6"/>
        <v>0</v>
      </c>
      <c r="AG23" s="1240">
        <f t="shared" si="6"/>
        <v>0</v>
      </c>
      <c r="AH23" s="1240">
        <f t="shared" si="6"/>
        <v>0</v>
      </c>
      <c r="AI23" s="1240">
        <f t="shared" si="6"/>
        <v>0</v>
      </c>
      <c r="AJ23" s="1240">
        <f t="shared" si="6"/>
        <v>270</v>
      </c>
      <c r="AK23" s="1240">
        <f t="shared" si="6"/>
        <v>1139</v>
      </c>
      <c r="AL23" s="1240">
        <f t="shared" si="6"/>
        <v>0</v>
      </c>
      <c r="AM23" s="1240">
        <f t="shared" si="6"/>
        <v>0</v>
      </c>
      <c r="AN23" s="1240">
        <f t="shared" si="6"/>
        <v>0</v>
      </c>
      <c r="AO23" s="1242">
        <f>IF(ISNUMBER(((NºAsuntos!I23/NºAsuntos!G23)*11)/factor_trimestre),((NºAsuntos!I23/NºAsuntos!G23)*11)/factor_trimestre," - ")</f>
        <v>1.910191725529768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103.63636363636364</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145.45454545454547</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636.36363636363637</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15</v>
      </c>
      <c r="F31" s="1117">
        <f t="shared" si="12"/>
        <v>1722</v>
      </c>
      <c r="G31" s="1117">
        <f t="shared" si="12"/>
        <v>1787</v>
      </c>
      <c r="H31" s="1118">
        <f t="shared" si="12"/>
        <v>0</v>
      </c>
      <c r="I31" s="1117">
        <f t="shared" si="12"/>
        <v>0</v>
      </c>
      <c r="J31" s="1119">
        <f t="shared" si="12"/>
        <v>0</v>
      </c>
      <c r="K31" s="1117">
        <f t="shared" si="12"/>
        <v>0</v>
      </c>
      <c r="L31" s="1120">
        <f t="shared" si="12"/>
        <v>0</v>
      </c>
      <c r="M31" s="1117">
        <f t="shared" si="12"/>
        <v>0</v>
      </c>
      <c r="N31" s="1118">
        <f t="shared" si="12"/>
        <v>784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2013</v>
      </c>
      <c r="Z31" s="1124">
        <f t="shared" si="13"/>
        <v>2022</v>
      </c>
      <c r="AA31" s="1125">
        <f t="shared" si="13"/>
        <v>1960</v>
      </c>
      <c r="AB31" s="1125">
        <f t="shared" si="13"/>
        <v>0</v>
      </c>
      <c r="AC31" s="1125">
        <f t="shared" si="13"/>
        <v>0</v>
      </c>
      <c r="AD31" s="1126">
        <f t="shared" si="13"/>
        <v>0</v>
      </c>
      <c r="AE31" s="1126">
        <f t="shared" si="13"/>
        <v>13971</v>
      </c>
      <c r="AF31" s="1127">
        <f t="shared" si="13"/>
        <v>0</v>
      </c>
      <c r="AG31" s="1128">
        <f t="shared" si="13"/>
        <v>0</v>
      </c>
      <c r="AH31" s="1129">
        <f t="shared" si="13"/>
        <v>0</v>
      </c>
      <c r="AI31" s="1127">
        <f t="shared" si="13"/>
        <v>0</v>
      </c>
      <c r="AJ31" s="1117">
        <f t="shared" si="13"/>
        <v>875</v>
      </c>
      <c r="AK31" s="1117">
        <f t="shared" si="13"/>
        <v>2335</v>
      </c>
      <c r="AL31" s="1117">
        <f t="shared" si="13"/>
        <v>0</v>
      </c>
      <c r="AM31" s="1130">
        <f t="shared" si="13"/>
        <v>0</v>
      </c>
      <c r="AN31" s="1120">
        <f>IF(ISNUMBER(Datos!K31/Datos!J31),Datos!K31/Datos!J31," - ")</f>
        <v>0.9155749636098981</v>
      </c>
      <c r="AO31" s="1120">
        <f>IF(ISNUMBER(FIND("06",Criterios!A8,1)),(IF(ISNUMBER(((Datos!R31/Datos!Q31)*11)/factor_trimestre),((Datos!R31/Datos!Q31)*11)/factor_trimestre," - ")),(IF(ISNUMBER(((Datos!L31/Datos!K31)*11)/factor_trimestre),((Datos!L31/Datos!K31)*11)/factor_trimestre," - ")))</f>
        <v>4.2739041562570979</v>
      </c>
      <c r="AP31" s="1131" t="str">
        <f>IF(ISNUMBER(Datos!CI31/Datos!CJ31),Datos!CI31/Datos!CJ31," - ")</f>
        <v xml:space="preserve"> - </v>
      </c>
      <c r="AQ31" s="1131">
        <f>IF(OR(ISNUMBER(FIND("01",Criterios!A8,1)),ISNUMBER(FIND("02",Criterios!A8,1)),ISNUMBER(FIND("03",Criterios!A8,1)),ISNUMBER(FIND("04",Criterios!A8,1))),(J31-Y31+K31)/(F31-K31),(I31-Y31+K31)/(F31-K31))</f>
        <v>-1.1689895470383276</v>
      </c>
      <c r="AR31" s="1131">
        <f>IF(ISNUMBER((Datos!P31-Datos!Q31+O31)/(Datos!R31-Datos!P31+Datos!Q31-O31)),(Datos!P31-Datos!Q31+O31)/(Datos!R31-Datos!P31+Datos!Q31-O31)," - ")</f>
        <v>-8.1399171543165227E-2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510.57142857142856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834.08776516623243</v>
      </c>
      <c r="G33" s="674">
        <f>IF(ISNUMBER(STDEV(G8:G30)),STDEV(G8:G30),"-")</f>
        <v>782.14829308830713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219.87445913015404</v>
      </c>
      <c r="AK33" s="276"/>
      <c r="AL33" s="276">
        <f>IF(ISNUMBER(STDEV(AL8:AL30)),STDEV(AL8:AL30),"-")</f>
        <v>0</v>
      </c>
      <c r="AM33" s="278">
        <f>IF(ISNUMBER(STDEV(AM8:AM30)),STDEV(AM8:AM30),"-")</f>
        <v>0</v>
      </c>
      <c r="AN33" s="660">
        <f>IF(ISNUMBER(STDEV(AN8:AN30)),STDEV(AN8:AN30),"-")</f>
        <v>0</v>
      </c>
      <c r="AO33" s="661">
        <f>IF(ISNUMBER(STDEV(AO8:AO30)),STDEV(AO8:AO30),"-")</f>
        <v>2.2544341727953086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247.30437026972669</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E/zarzf53oHWGR6wIAfwvuUsQ+9dry5wssqRCri/RysOgKfSSa1EzrPOu7EPQmPYlAEq1JQlNhje5RZIWqj74w==" saltValue="UM+8pQQHq/b+gW4BL4Vvl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3 al 3</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tF4Nu3jcAMKEsxU5XrfXHR37Zns/RSzTOHB1hn6WWZhzujGOwhuS93mDr1BAf7IVUxfCxv5R3inTqQUQUyFw0Q==" saltValue="U65CGEawIfIt/OeyNxo2e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3 al 3</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bnOX+pZpeNQ068nak4E7Wsb3de8Wwna2voSGu3HW1a6/F37MFtYfOOTfcxfGfGHYeHf9ArauuJKHztd2YGcBQ==" saltValue="B2XZGCrQ6AStBna5MvQa3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TERRASSA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3 al 3</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0.23278183916891113</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0.16460161701341333</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qFNwNwtI53SMvB6T4EKIdZ9TLgHnV+4Gn+4RUA+YERH+jbs6P6vS2mYYQGBnUAqertrijZ9l6MDU5qjIsEPzHw==" saltValue="YiGDx8Xc9hsDoIR+8NezC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rUdOFabibfGRce4DHtl6HNUHTu738aFblY+kqpgQ6JILp7Yi+RsyhofTjp5iVm/WZ0mGsdBQBNZG+OTUxuxIQ==" saltValue="OSwMTIp3K9VI1/JFExonO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TERRASSA</v>
      </c>
      <c r="C4" s="436"/>
      <c r="D4" s="436"/>
      <c r="E4" s="436"/>
      <c r="F4" s="436"/>
    </row>
    <row r="5" spans="1:14" ht="15.75" customHeight="1">
      <c r="A5" s="1579" t="str">
        <f>"Año:  " &amp;Criterios!B5 &amp; "     Trimestre   " &amp;Criterios!D5 &amp; " al " &amp;Criterios!D6</f>
        <v>Año:  2022     Trimestre   3 al 3</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7</v>
      </c>
      <c r="C9" s="451">
        <f>IF(ISNUMBER(IF(J_V="SI",Datos!I9,Datos!I9+Datos!Y9)),IF(J_V="SI",Datos!I9,Datos!I9+Datos!Y9)," - ")</f>
        <v>6227</v>
      </c>
      <c r="D9" s="452">
        <f>IF(ISNUMBER(C9/Datos!BH9),C9/Datos!BH9," - ")</f>
        <v>889.57142857142856</v>
      </c>
      <c r="E9" s="451">
        <f>IF(ISNUMBER(IF(J_V="SI",Datos!J9,Datos!J9+Datos!Z9)),IF(J_V="SI",Datos!J9,Datos!J9+Datos!Z9)," - ")</f>
        <v>2446</v>
      </c>
      <c r="F9" s="452">
        <f>IF(ISNUMBER(E9/B9),E9/B9," - ")</f>
        <v>349.42857142857144</v>
      </c>
      <c r="G9" s="451">
        <f>IF(ISNUMBER(IF(J_V="SI",Datos!K9,Datos!K9+Datos!AA9)),IF(J_V="SI",Datos!K9,Datos!K9+Datos!AA9)," - ")</f>
        <v>2186</v>
      </c>
      <c r="H9" s="452">
        <f>IF(ISNUMBER(G9/B9),G9/B9," - ")</f>
        <v>312.28571428571428</v>
      </c>
      <c r="I9" s="451">
        <f>IF(ISNUMBER(IF(J_V="SI",Datos!L9,Datos!L9+Datos!AB9)),IF(J_V="SI",Datos!L9,Datos!L9+Datos!AB9)," - ")</f>
        <v>6487</v>
      </c>
      <c r="J9" s="452">
        <f>IF(ISNUMBER(I9/B9),I9/B9," - ")</f>
        <v>926.71428571428567</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72</v>
      </c>
      <c r="D10" s="452">
        <f>IF(ISNUMBER(C10/Datos!BH10),C10/Datos!BH10," - ")</f>
        <v>72</v>
      </c>
      <c r="E10" s="451">
        <f>IF(ISNUMBER(Datos!J10),Datos!J10," - ")</f>
        <v>26</v>
      </c>
      <c r="F10" s="452">
        <f>IF(ISNUMBER(E10/B10),E10/B10," - ")</f>
        <v>26</v>
      </c>
      <c r="G10" s="451">
        <f>IF(ISNUMBER(Datos!K10),Datos!K10," - ")</f>
        <v>31</v>
      </c>
      <c r="H10" s="452">
        <f>IF(ISNUMBER(G10/B10),G10/B10," - ")</f>
        <v>31</v>
      </c>
      <c r="I10" s="451">
        <f>IF(ISNUMBER(Datos!L10),Datos!L10," - ")</f>
        <v>67</v>
      </c>
      <c r="J10" s="452">
        <f>IF(ISNUMBER(I10/B10),I10/B10," - ")</f>
        <v>67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2</v>
      </c>
      <c r="C11" s="451">
        <f>IF(ISNUMBER(IF(J_V="SI",Datos!I11,Datos!I11+Datos!Y11)),IF(J_V="SI",Datos!I11,Datos!I11+Datos!Y11)," - ")</f>
        <v>1228</v>
      </c>
      <c r="D11" s="452">
        <f>IF(ISNUMBER(C11/Datos!BH11),C11/Datos!BH11," - ")</f>
        <v>614</v>
      </c>
      <c r="E11" s="451">
        <f>IF(ISNUMBER(IF(J_V="SI",Datos!J11,Datos!J11+Datos!Z11)),IF(J_V="SI",Datos!J11,Datos!J11+Datos!Z11)," - ")</f>
        <v>416</v>
      </c>
      <c r="F11" s="452">
        <f>IF(ISNUMBER(E11/B11),E11/B11," - ")</f>
        <v>208</v>
      </c>
      <c r="G11" s="451">
        <f>IF(ISNUMBER(IF(J_V="SI",Datos!K11,Datos!K11+Datos!AA11)),IF(J_V="SI",Datos!K11,Datos!K11+Datos!AA11)," - ")</f>
        <v>382</v>
      </c>
      <c r="H11" s="452">
        <f>IF(ISNUMBER(G11/B11),G11/B11," - ")</f>
        <v>191</v>
      </c>
      <c r="I11" s="451">
        <f>IF(ISNUMBER(IF(J_V="SI",Datos!L11,Datos!L11+Datos!AB11)),IF(J_V="SI",Datos!L11,Datos!L11+Datos!AB11)," - ")</f>
        <v>1270</v>
      </c>
      <c r="J11" s="452">
        <f>IF(ISNUMBER(I11/B11),I11/B11," - ")</f>
        <v>635</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t="str">
        <f>IF(ISNUMBER(IF(J_V="SI",Datos!I12,Datos!I12+Datos!Y12)),IF(J_V="SI",Datos!I12,Datos!I12+Datos!Y12)," - ")</f>
        <v xml:space="preserve"> - </v>
      </c>
      <c r="D12" s="452" t="str">
        <f>IF(ISNUMBER(C12/Datos!BH12),C12/Datos!BH12," - ")</f>
        <v xml:space="preserve"> - </v>
      </c>
      <c r="E12" s="451" t="str">
        <f>IF(ISNUMBER(IF(J_V="SI",Datos!J12,Datos!J12+Datos!Z12)),IF(J_V="SI",Datos!J12,Datos!J12+Datos!Z12)," - ")</f>
        <v xml:space="preserve"> - </v>
      </c>
      <c r="F12" s="452" t="str">
        <f>IF(ISNUMBER(E12/B12),E12/B12," - ")</f>
        <v xml:space="preserve"> - </v>
      </c>
      <c r="G12" s="451" t="str">
        <f>IF(ISNUMBER(IF(J_V="SI",Datos!K12,Datos!K12+Datos!AA12)),IF(J_V="SI",Datos!K12,Datos!K12+Datos!AA12)," - ")</f>
        <v xml:space="preserve"> - </v>
      </c>
      <c r="H12" s="452" t="str">
        <f>IF(ISNUMBER(G12/B12),G12/B12," - ")</f>
        <v xml:space="preserve"> - </v>
      </c>
      <c r="I12" s="451" t="str">
        <f>IF(ISNUMBER(IF(J_V="SI",Datos!L12,Datos!L12+Datos!AB12)),IF(J_V="SI",Datos!L12,Datos!L12+Datos!AB12)," - ")</f>
        <v xml:space="preserve"> - </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10</v>
      </c>
      <c r="C14" s="1146">
        <f>SUBTOTAL(9,C8:C13)</f>
        <v>7527</v>
      </c>
      <c r="D14" s="1147" t="str">
        <f>IF(ISNUMBER(C14/Datos!BI14),C14/Datos!BI14," - ")</f>
        <v xml:space="preserve"> - </v>
      </c>
      <c r="E14" s="1146">
        <f>SUBTOTAL(9,E8:E13)</f>
        <v>2888</v>
      </c>
      <c r="F14" s="1147">
        <f>IF(ISNUMBER(E14/B14),E14/B14," - ")</f>
        <v>288.8</v>
      </c>
      <c r="G14" s="1146">
        <f>SUBTOTAL(9,G8:G13)</f>
        <v>2599</v>
      </c>
      <c r="H14" s="1147">
        <f>IF(ISNUMBER(G14/B14),G14/B14," - ")</f>
        <v>259.89999999999998</v>
      </c>
      <c r="I14" s="1146">
        <f>SUBTOTAL(9,I8:I13)</f>
        <v>7824</v>
      </c>
      <c r="J14" s="1147">
        <f>IF(ISNUMBER(I14/B14),I14/B14," - ")</f>
        <v>782.4</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1590</v>
      </c>
      <c r="D16" s="452">
        <f>IF(ISNUMBER(C16/Datos!BH16),C16/Datos!BH16," - ")</f>
        <v>397.5</v>
      </c>
      <c r="E16" s="451">
        <f>IF(ISNUMBER(IF(D_I="SI",Datos!J16,Datos!J16+Datos!AD16)),IF(D_I="SI",Datos!J16,Datos!J16+Datos!AD16)," - ")</f>
        <v>1873</v>
      </c>
      <c r="F16" s="452">
        <f>IF(ISNUMBER(E16/B16),E16/B16," - ")</f>
        <v>468.25</v>
      </c>
      <c r="G16" s="451">
        <f>IF(ISNUMBER(IF(D_I="SI",Datos!K16,Datos!K16+Datos!AE16)),IF(D_I="SI",Datos!K16,Datos!K16+Datos!AE16)," - ")</f>
        <v>1771</v>
      </c>
      <c r="H16" s="452">
        <f>IF(ISNUMBER(G16/B16),G16/B16," - ")</f>
        <v>442.75</v>
      </c>
      <c r="I16" s="451">
        <f>IF(ISNUMBER(IF(D_I="SI",Datos!L16,Datos!L16+Datos!AF16)),IF(D_I="SI",Datos!L16,Datos!L16+Datos!AF16)," - ")</f>
        <v>1752</v>
      </c>
      <c r="J16" s="452">
        <f>IF(ISNUMBER(I16/B16),I16/B16," - ")</f>
        <v>438</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t="str">
        <f>IF(ISNUMBER(IF(D_I="SI",Datos!I17,Datos!I17+Datos!AC17)),IF(D_I="SI",Datos!I17,Datos!I17+Datos!AC17)," - ")</f>
        <v xml:space="preserve"> - </v>
      </c>
      <c r="D17" s="452" t="str">
        <f>IF(ISNUMBER(C17/Datos!BH17),C17/Datos!BH17," - ")</f>
        <v xml:space="preserve"> - </v>
      </c>
      <c r="E17" s="451" t="str">
        <f>IF(ISNUMBER(IF(D_I="SI",Datos!J17,Datos!J17+Datos!AD17)),IF(D_I="SI",Datos!J17,Datos!J17+Datos!AD17)," - ")</f>
        <v xml:space="preserve"> - </v>
      </c>
      <c r="F17" s="452" t="str">
        <f>IF(ISNUMBER(E17/B17),E17/B17," - ")</f>
        <v xml:space="preserve"> - </v>
      </c>
      <c r="G17" s="451" t="str">
        <f>IF(ISNUMBER(IF(D_I="SI",Datos!K17,Datos!K17+Datos!AE17)),IF(D_I="SI",Datos!K17,Datos!K17+Datos!AE17)," - ")</f>
        <v xml:space="preserve"> - </v>
      </c>
      <c r="H17" s="452" t="str">
        <f>IF(ISNUMBER(G17/B17),G17/B17," - ")</f>
        <v xml:space="preserve"> - </v>
      </c>
      <c r="I17" s="451" t="str">
        <f>IF(ISNUMBER(IF(D_I="SI",Datos!L17,Datos!L17+Datos!AF17)),IF(D_I="SI",Datos!L17,Datos!L17+Datos!AF17)," - ")</f>
        <v xml:space="preserve"> - </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125</v>
      </c>
      <c r="D18" s="452">
        <f>IF(ISNUMBER(C18/Datos!BH18),C18/Datos!BH18," - ")</f>
        <v>125</v>
      </c>
      <c r="E18" s="451">
        <f>IF(ISNUMBER(IF(D_I="SI",Datos!J18,Datos!J18+Datos!AD18)),IF(D_I="SI",Datos!J18,Datos!J18+Datos!AD18)," - ")</f>
        <v>227</v>
      </c>
      <c r="F18" s="452">
        <f>IF(ISNUMBER(E18/B18),E18/B18," - ")</f>
        <v>227</v>
      </c>
      <c r="G18" s="451">
        <f>IF(ISNUMBER(IF(D_I="SI",Datos!K18,Datos!K18+Datos!AE18)),IF(D_I="SI",Datos!K18,Datos!K18+Datos!AE18)," - ")</f>
        <v>211</v>
      </c>
      <c r="H18" s="452">
        <f>IF(ISNUMBER(G18/B18),G18/B18," - ")</f>
        <v>211</v>
      </c>
      <c r="I18" s="451">
        <f>IF(ISNUMBER(IF(D_I="SI",Datos!L18,Datos!L18+Datos!AF18)),IF(D_I="SI",Datos!L18,Datos!L18+Datos!AF18)," - ")</f>
        <v>141</v>
      </c>
      <c r="J18" s="452">
        <f>IF(ISNUMBER(I18/B18),I18/B18," - ")</f>
        <v>141</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1715</v>
      </c>
      <c r="D23" s="1147" t="str">
        <f>IF(ISNUMBER(C23/Datos!BI23),C23/Datos!BI23," - ")</f>
        <v xml:space="preserve"> - </v>
      </c>
      <c r="E23" s="1146">
        <f>SUBTOTAL(9,E15:E22)</f>
        <v>2100</v>
      </c>
      <c r="F23" s="1147">
        <f>IF(ISNUMBER(E23/B23),E23/B23," - ")</f>
        <v>420</v>
      </c>
      <c r="G23" s="1146">
        <f>SUBTOTAL(9,G15:G22)</f>
        <v>1982</v>
      </c>
      <c r="H23" s="1147">
        <f>IF(ISNUMBER(G23/B23),G23/B23," - ")</f>
        <v>396.4</v>
      </c>
      <c r="I23" s="1146">
        <f>SUBTOTAL(9,I15:I22)</f>
        <v>1893</v>
      </c>
      <c r="J23" s="1147">
        <f>IF(ISNUMBER(I23/B23),I23/B23," - ")</f>
        <v>378.6</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14</v>
      </c>
      <c r="C31" s="1084">
        <f>SUBTOTAL(9,C9:C30)</f>
        <v>9242</v>
      </c>
      <c r="D31" s="1085" t="str">
        <f>IF(ISNUMBER(C31/Datos!BI31),C31/Datos!BI31," - ")</f>
        <v xml:space="preserve"> - </v>
      </c>
      <c r="E31" s="1084">
        <f>SUBTOTAL(9,E9:E30)</f>
        <v>4988</v>
      </c>
      <c r="F31" s="1085">
        <f>IF(ISNUMBER(E31/B31),E31/B31," - ")</f>
        <v>356.28571428571428</v>
      </c>
      <c r="G31" s="1084">
        <f>SUBTOTAL(9,G9:G30)</f>
        <v>4581</v>
      </c>
      <c r="H31" s="1085">
        <f>IF(ISNUMBER(G31/B31),G31/B31," - ")</f>
        <v>327.21428571428572</v>
      </c>
      <c r="I31" s="1084">
        <f>SUBTOTAL(9,I9:I30)</f>
        <v>9717</v>
      </c>
      <c r="J31" s="1085">
        <f>IF(ISNUMBER(I31/B31),I31/B31," - ")</f>
        <v>694.07142857142856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O2jM3SsveiN+Qzd59t9cvzWas1zlq4Ax1QS6M1cM67emN5GiqVrFuagy+rZHf+hmwnX9OMFfnzEdAYYMSFYXlQ==" saltValue="j0lwTgsBMHEK7IaqZMd3i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TERRASSA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3 al 3</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7</v>
      </c>
      <c r="B9" s="745" t="s">
        <v>321</v>
      </c>
      <c r="C9" s="765" t="str">
        <f>Datos!A9</f>
        <v xml:space="preserve">Jdos. 1ª Instancia   </v>
      </c>
      <c r="D9" s="593"/>
      <c r="E9" s="904">
        <f>IF(ISNUMBER(Datos!AQ9),Datos!AQ9," - ")</f>
        <v>7</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1</v>
      </c>
      <c r="F10" s="905">
        <f>IF(ISNUMBER(Datos!L10+Datos!K10-Datos!J10),Datos!L10+Datos!K10-Datos!J10," - ")</f>
        <v>72</v>
      </c>
      <c r="G10" s="906">
        <f>IF(ISNUMBER(Datos!I10),Datos!I10," - ")</f>
        <v>72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31</v>
      </c>
      <c r="AC10" s="905" t="str">
        <f>IF(ISNUMBER(IF(D_I="SI",DatosP!K18,DatosP!K18+DatosP!AE18)),IF(D_I="SI",DatosP!K18,DatosP!K18+DatosP!AE18)," - ")</f>
        <v xml:space="preserve"> - </v>
      </c>
      <c r="AD10" s="907"/>
      <c r="AE10" s="907"/>
      <c r="AF10" s="910">
        <f>IF(ISNUMBER(Datos!L10),Datos!L10,"-")</f>
        <v>67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15</v>
      </c>
      <c r="AN10" s="914">
        <f>IF(ISNUMBER(Datos!BW10+DatosP!BW18),Datos!BW10+DatosP!BW18," - ")</f>
        <v>0</v>
      </c>
      <c r="AO10" s="915">
        <f>IF(ISNUMBER(Datos!BX10+DatosP!BX18),Datos!BX10+DatosP!BX18," - ")</f>
        <v>0</v>
      </c>
      <c r="AP10" s="917">
        <f>IF(ISNUMBER(((Datos!L10/Datos!K10)*11)/factor_trimestre),((Datos!L10/Datos!K10)*11)/factor_trimestre," - ")</f>
        <v>4.32258064516129</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2</v>
      </c>
      <c r="B11" s="746" t="s">
        <v>321</v>
      </c>
      <c r="C11" s="747" t="str">
        <f>Datos!A11</f>
        <v xml:space="preserve">Jdos. Familia                                   </v>
      </c>
      <c r="D11" s="601"/>
      <c r="E11" s="904">
        <f>IF(ISNUMBER(Datos!AQ11),Datos!AQ11," - ")</f>
        <v>2</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321</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t="str">
        <f>IF(ISNUMBER(Datos!Q12),Datos!Q12," - ")</f>
        <v xml:space="preserve"> - </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t="str">
        <f>IF(ISNUMBER(Datos!R12),Datos!R12," - ")</f>
        <v xml:space="preserve"> - </v>
      </c>
      <c r="AI12" s="911" t="str">
        <f>IF(ISNUMBER(DatosP!R17),DatosP!R17," - ")</f>
        <v xml:space="preserve"> - </v>
      </c>
      <c r="AJ12" s="904">
        <f>IF(ISNUMBER(Datos!BV12+DatosP!BV17),Datos!BV12+DatosP!BV17," - ")</f>
        <v>0</v>
      </c>
      <c r="AK12" s="912" t="str">
        <f>IF(ISNUMBER(Datos!DV12),Datos!DV12," - ")</f>
        <v xml:space="preserve"> - </v>
      </c>
      <c r="AL12" s="905" t="str">
        <f>IF(ISNUMBER(Datos!M12+DatosP!M17),Datos!M12+DatosP!M17," - ")</f>
        <v xml:space="preserve"> - </v>
      </c>
      <c r="AM12" s="914" t="str">
        <f>IF(ISNUMBER(Datos!N12+DatosP!N17),Datos!N12+DatosP!N17," - ")</f>
        <v xml:space="preserve"> - </v>
      </c>
      <c r="AN12" s="914">
        <f>IF(ISNUMBER(Datos!BW12+DatosP!BW17),Datos!BW12+DatosP!BW17," - ")</f>
        <v>0</v>
      </c>
      <c r="AO12" s="915">
        <f>IF(ISNUMBER(Datos!BX12+DatosP!BX17),Datos!BX12+DatosP!BX17," - ")</f>
        <v>0</v>
      </c>
      <c r="AP12" s="917" t="str">
        <f>IF(ISNUMBER(((IF(J_V="SI",Datos!L12/Datos!K12,(Datos!L12+Datos!AB12)/(Datos!K12+Datos!AA12)))*11)/factor_trimestre),((IF(J_V="SI",Datos!L12/Datos!K12,(Datos!L12+Datos!AB12)/(Datos!K12+Datos!AA12)))*11)/factor_trimestre," - ")</f>
        <v xml:space="preserve"> - </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t="str">
        <f>IF(ISNUMBER((Datos!P12-Datos!Q12+Datos!DE12)/(Datos!R12-Datos!P12+Datos!Q12-Datos!DE12)),(Datos!P12-Datos!Q12+Datos!DE12)/(Datos!R12-Datos!P12+Datos!Q12-Datos!DE12)," - ")</f>
        <v xml:space="preserve"> - </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10</v>
      </c>
      <c r="F14" s="1256">
        <f t="shared" si="0"/>
        <v>72</v>
      </c>
      <c r="G14" s="1256">
        <f t="shared" si="0"/>
        <v>72</v>
      </c>
      <c r="H14" s="1256">
        <f t="shared" si="0"/>
        <v>0</v>
      </c>
      <c r="I14" s="1258">
        <f t="shared" si="0"/>
        <v>0</v>
      </c>
      <c r="J14" s="1257">
        <f t="shared" si="0"/>
        <v>0</v>
      </c>
      <c r="K14" s="1257">
        <f t="shared" si="0"/>
        <v>0</v>
      </c>
      <c r="L14" s="1259">
        <f t="shared" si="0"/>
        <v>0</v>
      </c>
      <c r="M14" s="1259">
        <f t="shared" si="0"/>
        <v>0</v>
      </c>
      <c r="N14" s="1257">
        <f t="shared" si="0"/>
        <v>4</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31</v>
      </c>
      <c r="AC14" s="1257">
        <f t="shared" si="1"/>
        <v>0</v>
      </c>
      <c r="AD14" s="1257">
        <f t="shared" si="1"/>
        <v>0</v>
      </c>
      <c r="AE14" s="1257">
        <f t="shared" si="1"/>
        <v>0</v>
      </c>
      <c r="AF14" s="1257">
        <f t="shared" si="1"/>
        <v>67</v>
      </c>
      <c r="AG14" s="1257">
        <f t="shared" si="1"/>
        <v>0</v>
      </c>
      <c r="AH14" s="1257">
        <f t="shared" si="1"/>
        <v>0</v>
      </c>
      <c r="AI14" s="1257">
        <f t="shared" si="1"/>
        <v>0</v>
      </c>
      <c r="AJ14" s="1257">
        <f t="shared" si="1"/>
        <v>0</v>
      </c>
      <c r="AK14" s="1257">
        <f t="shared" si="1"/>
        <v>0</v>
      </c>
      <c r="AL14" s="1257">
        <f t="shared" si="1"/>
        <v>11</v>
      </c>
      <c r="AM14" s="1257">
        <f t="shared" si="1"/>
        <v>15</v>
      </c>
      <c r="AN14" s="1257">
        <f t="shared" si="1"/>
        <v>0</v>
      </c>
      <c r="AO14" s="1257">
        <f t="shared" si="1"/>
        <v>0</v>
      </c>
      <c r="AP14" s="1262">
        <f>IF(ISNUMBER(((Datos!L14/Datos!K14)*11)/factor_trimestre),((Datos!L14/Datos!K14)*11)/factor_trimestre," - ")</f>
        <v>6.2090045435770342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-0.43055555555555558</v>
      </c>
      <c r="AU14" s="1257" t="str">
        <f>IF(ISNUMBER((DatosP!#REF!-DatosP!#REF!+DatosP!#REF!)/(DatosP!#REF!+DatosP!#REF!-DatosP!#REF!-DatosP!#REF!)),(DatosP!#REF!-DatosP!#REF!+DatosP!#REF!)/(DatosP!#REF!+DatosP!#REF!-DatosP!#REF!-DatosP!#REF!)," - ")</f>
        <v xml:space="preserve"> - </v>
      </c>
      <c r="AV14" s="1263">
        <f>SUBTOTAL(9,AV9:AV13)</f>
        <v>0</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1.910191725529768</v>
      </c>
      <c r="AQ23" s="1262">
        <f>IF(ISNUMBER(((Datos!M23/Datos!L23)*11)/factor_trimestre),((Datos!M23/Datos!L23)*11)/factor_trimestre," - ")</f>
        <v>0.28526148969889065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-0.23558897243107768</v>
      </c>
      <c r="AW23" s="1265">
        <f>IF(ISNUMBER((Datos!Q23-Datos!R23)/(Datos!S23-Datos!Q23+Datos!R23)),(Datos!Q23-Datos!R23)/(Datos!S23-Datos!Q23+Datos!R23)," - ")</f>
        <v>-8.1739130434782606E-2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10</v>
      </c>
      <c r="F31" s="1278">
        <f t="shared" si="8"/>
        <v>72</v>
      </c>
      <c r="G31" s="1278">
        <f t="shared" si="8"/>
        <v>72</v>
      </c>
      <c r="H31" s="1278">
        <f t="shared" si="8"/>
        <v>0</v>
      </c>
      <c r="I31" s="1279">
        <f t="shared" si="8"/>
        <v>0</v>
      </c>
      <c r="J31" s="1280">
        <f t="shared" si="8"/>
        <v>0</v>
      </c>
      <c r="K31" s="1280">
        <f t="shared" si="8"/>
        <v>0</v>
      </c>
      <c r="L31" s="1280">
        <f t="shared" si="8"/>
        <v>0</v>
      </c>
      <c r="M31" s="1280">
        <f t="shared" si="8"/>
        <v>0</v>
      </c>
      <c r="N31" s="1279">
        <f t="shared" si="8"/>
        <v>4</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31</v>
      </c>
      <c r="AC31" s="1284">
        <f t="shared" si="9"/>
        <v>0</v>
      </c>
      <c r="AD31" s="1284">
        <f t="shared" si="9"/>
        <v>0</v>
      </c>
      <c r="AE31" s="1284">
        <f t="shared" si="9"/>
        <v>0</v>
      </c>
      <c r="AF31" s="1285">
        <f t="shared" si="9"/>
        <v>67</v>
      </c>
      <c r="AG31" s="1285">
        <f t="shared" si="9"/>
        <v>0</v>
      </c>
      <c r="AH31" s="1285">
        <f t="shared" si="9"/>
        <v>0</v>
      </c>
      <c r="AI31" s="1285">
        <f t="shared" si="9"/>
        <v>0</v>
      </c>
      <c r="AJ31" s="1286">
        <f t="shared" si="9"/>
        <v>0</v>
      </c>
      <c r="AK31" s="1286">
        <f t="shared" si="9"/>
        <v>0</v>
      </c>
      <c r="AL31" s="1278">
        <f t="shared" si="9"/>
        <v>11</v>
      </c>
      <c r="AM31" s="1278">
        <f t="shared" si="9"/>
        <v>15</v>
      </c>
      <c r="AN31" s="1278">
        <f t="shared" si="9"/>
        <v>0</v>
      </c>
      <c r="AO31" s="1278">
        <f t="shared" si="9"/>
        <v>0</v>
      </c>
      <c r="AP31" s="1278">
        <f>IF(ISNUMBER(((Datos!L31/Datos!K31)*11)/factor_trimestre),((Datos!L31/Datos!K31)*11)/factor_trimestre," - ")</f>
        <v>4.2739041562570979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-0.43055555555555558</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-8.1399171543165227E-2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28.8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3.7006005518624194</v>
      </c>
      <c r="F33" s="1006">
        <f>IF(ISNUMBER(STDEV(F8:F30)),STDEV(F8:F30),"-")</f>
        <v>39.436024140371963</v>
      </c>
      <c r="G33" s="1007">
        <f>IF(ISNUMBER(STDEV(G8:G30)),STDEV(G8:G30),"-")</f>
        <v>39.436024140371963</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16.97939928266015</v>
      </c>
      <c r="AC33" s="1008">
        <f>IF(ISNUMBER(STDEV(AC8:AC30)),STDEV(AC8:AC30),"-")</f>
        <v>0</v>
      </c>
      <c r="AD33" s="1011"/>
      <c r="AE33" s="1011"/>
      <c r="AF33" s="1011"/>
      <c r="AG33" s="1011"/>
      <c r="AH33" s="1011"/>
      <c r="AI33" s="1011"/>
      <c r="AJ33" s="1012">
        <f>IF(ISNUMBER(STDEV(AJ8:AJ30)),STDEV(AJ8:AJ30),"-")</f>
        <v>0</v>
      </c>
      <c r="AK33" s="1014"/>
      <c r="AL33" s="1006">
        <f>IF(ISNUMBER(STDEV(AL8:AL30)),STDEV(AL8:AL30),"-")</f>
        <v>6.024948132556827</v>
      </c>
      <c r="AM33" s="1006"/>
      <c r="AN33" s="1006">
        <f>IF(ISNUMBER(STDEV(AN8:AN30)),STDEV(AN8:AN30),"-")</f>
        <v>0</v>
      </c>
      <c r="AO33" s="1012">
        <f>IF(ISNUMBER(STDEV(AO8:AO30)),STDEV(AO8:AO30),"-")</f>
        <v>0</v>
      </c>
      <c r="AP33" s="1065">
        <f>IF(ISNUMBER(STDEV(AP8:AP30)),STDEV(AP8:AP30),"-")</f>
        <v>2.1547624412249577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AiDOBbX2Kt5IiiX2R8HUCGyJdWv3VRXcWKzNqKZ2kHn6KA1dIB9HRc3olA9AI4utMKceriJ3KObtkiSEuaFMA==" saltValue="OsnKlKlP8aheml1pDPeS8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TERRASSA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7</v>
      </c>
      <c r="D9" s="451">
        <f>Datos!BK9</f>
        <v>0</v>
      </c>
      <c r="E9" s="451">
        <f>Datos!AQ9</f>
        <v>7</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2</v>
      </c>
      <c r="D11" s="451">
        <f>Datos!BK11</f>
        <v>0</v>
      </c>
      <c r="E11" s="451">
        <f>Datos!AQ11</f>
        <v>2</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bbN5x+olOhanmQZckKkIor6sE33YMuv4U2Y+ajlVkCTAYKL+XiSrLWw+fc1i9UR5bLO9Nvp57btkVuQOrtE5FA==" saltValue="sv808lWeBcc7gQLh1uIcO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TERRASSA</v>
      </c>
    </row>
    <row r="5" spans="1:9" ht="15.75" customHeight="1">
      <c r="A5" s="1591" t="str">
        <f>"Año:  " &amp;Criterios!B5 &amp; "                  Trimestre   " &amp;Criterios!D5 &amp; " al " &amp;Criterios!D6</f>
        <v>Año:  2022                  Trimestre   3 al 3</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7</v>
      </c>
      <c r="C9" s="458">
        <f>Datos!AQ9</f>
        <v>7</v>
      </c>
      <c r="D9" s="451">
        <f>IF(ISNUMBER(Datos!M9),Datos!M9," - ")</f>
        <v>453</v>
      </c>
      <c r="E9" s="452">
        <f t="shared" ref="E9:E14" si="0">IF(ISNUMBER(D9/B9),D9/B9," - ")</f>
        <v>64.714285714285708</v>
      </c>
      <c r="F9" s="451">
        <f>IF(ISNUMBER(Datos!N9),Datos!N9," - ")</f>
        <v>992</v>
      </c>
      <c r="G9" s="452">
        <f t="shared" ref="G9:G14" si="1">IF(ISNUMBER(F9/B9),F9/B9," - ")</f>
        <v>141.71428571428572</v>
      </c>
      <c r="H9" s="451">
        <f>IF(ISNUMBER(Datos!O9),Datos!O9," - ")</f>
        <v>1079</v>
      </c>
      <c r="I9" s="452">
        <f>IF(ISNUMBER(H9/B9),H9/B9," - ")</f>
        <v>154.14285714285714</v>
      </c>
    </row>
    <row r="10" spans="1:9">
      <c r="A10" s="450" t="str">
        <f>Datos!A10</f>
        <v>Jdos. Violencia contra la mujer</v>
      </c>
      <c r="B10" s="480">
        <f>Datos!AO10</f>
        <v>1</v>
      </c>
      <c r="C10" s="458">
        <f>Datos!AQ10</f>
        <v>1</v>
      </c>
      <c r="D10" s="451">
        <f>IF(ISNUMBER(Datos!M10),Datos!M10," - ")</f>
        <v>11</v>
      </c>
      <c r="E10" s="452">
        <f>IF(ISNUMBER(D10/B10),D10/B10," - ")</f>
        <v>11</v>
      </c>
      <c r="F10" s="451">
        <f>IF(ISNUMBER(Datos!N10),Datos!N10," - ")</f>
        <v>15</v>
      </c>
      <c r="G10" s="452">
        <f>IF(ISNUMBER(F10/B10),F10/B10," - ")</f>
        <v>15</v>
      </c>
      <c r="H10" s="451">
        <f>IF(ISNUMBER(Datos!O10),Datos!O10," - ")</f>
        <v>9</v>
      </c>
      <c r="I10" s="452">
        <f t="shared" ref="I10:I13" si="2">IF(ISNUMBER(H10/B10),H10/B10," - ")</f>
        <v>9</v>
      </c>
    </row>
    <row r="11" spans="1:9">
      <c r="A11" s="450" t="str">
        <f>Datos!A11</f>
        <v xml:space="preserve">Jdos. Familia                                   </v>
      </c>
      <c r="B11" s="480">
        <f>Datos!AO11</f>
        <v>2</v>
      </c>
      <c r="C11" s="458">
        <f>Datos!AQ11</f>
        <v>2</v>
      </c>
      <c r="D11" s="451">
        <f>IF(ISNUMBER(Datos!M11),Datos!M11," - ")</f>
        <v>141</v>
      </c>
      <c r="E11" s="452">
        <f t="shared" si="0"/>
        <v>70.5</v>
      </c>
      <c r="F11" s="451">
        <f>IF(ISNUMBER(Datos!N11),Datos!N11," - ")</f>
        <v>189</v>
      </c>
      <c r="G11" s="452">
        <f t="shared" si="1"/>
        <v>94.5</v>
      </c>
      <c r="H11" s="451">
        <f>IF(ISNUMBER(Datos!O11),Datos!O11," - ")</f>
        <v>84</v>
      </c>
      <c r="I11" s="452">
        <f t="shared" si="2"/>
        <v>42</v>
      </c>
    </row>
    <row r="12" spans="1:9">
      <c r="A12" s="450" t="str">
        <f>Datos!A12</f>
        <v xml:space="preserve">Jdos. 1ª Instª. e Instr.                        </v>
      </c>
      <c r="B12" s="480">
        <f>Datos!AO12</f>
        <v>0</v>
      </c>
      <c r="C12" s="458">
        <f>Datos!AQ12</f>
        <v>0</v>
      </c>
      <c r="D12" s="451" t="str">
        <f>IF(ISNUMBER(Datos!M12),Datos!M12," - ")</f>
        <v xml:space="preserve"> - </v>
      </c>
      <c r="E12" s="452" t="str">
        <f t="shared" si="0"/>
        <v xml:space="preserve"> - </v>
      </c>
      <c r="F12" s="451" t="str">
        <f>IF(ISNUMBER(Datos!N12),Datos!N12," - ")</f>
        <v xml:space="preserve"> - </v>
      </c>
      <c r="G12" s="452" t="str">
        <f t="shared" si="1"/>
        <v xml:space="preserve"> - </v>
      </c>
      <c r="H12" s="451" t="str">
        <f>IF(ISNUMBER(Datos!O12),Datos!O12," - ")</f>
        <v xml:space="preserve"> - </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10</v>
      </c>
      <c r="C14" s="1148">
        <f>Datos!AR14</f>
        <v>10</v>
      </c>
      <c r="D14" s="1146">
        <f>SUBTOTAL(9,D9:D13)</f>
        <v>605</v>
      </c>
      <c r="E14" s="1147">
        <f t="shared" si="0"/>
        <v>60.5</v>
      </c>
      <c r="F14" s="1146">
        <f>SUBTOTAL(9,F9:F13)</f>
        <v>1196</v>
      </c>
      <c r="G14" s="1147">
        <f t="shared" si="1"/>
        <v>119.6</v>
      </c>
      <c r="H14" s="1146">
        <f>SUBTOTAL(9,H9:H13)</f>
        <v>1172</v>
      </c>
      <c r="I14" s="1147">
        <f>IF(ISNUMBER(H14/B14),H14/B14," - ")</f>
        <v>117.2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250</v>
      </c>
      <c r="E16" s="452">
        <f t="shared" ref="E16:E23" si="3">IF(ISNUMBER(D16/B16),D16/B16," - ")</f>
        <v>62.5</v>
      </c>
      <c r="F16" s="451">
        <f>IF(ISNUMBER(Datos!N16),Datos!N16," - ")</f>
        <v>1031</v>
      </c>
      <c r="G16" s="452">
        <f t="shared" ref="G16:G23" si="4">IF(ISNUMBER(F16/B16),F16/B16," - ")</f>
        <v>257.75</v>
      </c>
      <c r="H16" s="451">
        <f>IF(ISNUMBER(Datos!O16),Datos!O16," - ")</f>
        <v>34</v>
      </c>
      <c r="I16" s="452">
        <f t="shared" ref="I16:I22" si="5">IF(ISNUMBER(H16/B16),H16/B16," - ")</f>
        <v>8.5</v>
      </c>
    </row>
    <row r="17" spans="1:9">
      <c r="A17" s="450" t="str">
        <f>Datos!A17</f>
        <v xml:space="preserve">Jdos. 1ª Instª. e Instr.                        </v>
      </c>
      <c r="B17" s="480">
        <f>Datos!AO17</f>
        <v>0</v>
      </c>
      <c r="C17" s="481">
        <f>Datos!AQ17</f>
        <v>0</v>
      </c>
      <c r="D17" s="451" t="str">
        <f>IF(ISNUMBER(Datos!M17),Datos!M17," - ")</f>
        <v xml:space="preserve"> - </v>
      </c>
      <c r="E17" s="452" t="str">
        <f t="shared" si="3"/>
        <v xml:space="preserve"> - </v>
      </c>
      <c r="F17" s="451" t="str">
        <f>IF(ISNUMBER(Datos!N17),Datos!N17," - ")</f>
        <v xml:space="preserve"> - </v>
      </c>
      <c r="G17" s="452" t="str">
        <f t="shared" si="4"/>
        <v xml:space="preserve"> - </v>
      </c>
      <c r="H17" s="451" t="str">
        <f>IF(ISNUMBER(Datos!O17),Datos!O17," - ")</f>
        <v xml:space="preserve"> - </v>
      </c>
      <c r="I17" s="452" t="str">
        <f t="shared" si="5"/>
        <v xml:space="preserve"> - </v>
      </c>
    </row>
    <row r="18" spans="1:9">
      <c r="A18" s="450" t="str">
        <f>Datos!A18</f>
        <v>Jdos. Violencia contra la mujer</v>
      </c>
      <c r="B18" s="480">
        <f>Datos!AO18</f>
        <v>1</v>
      </c>
      <c r="C18" s="481">
        <f>Datos!AQ18</f>
        <v>1</v>
      </c>
      <c r="D18" s="451">
        <f>IF(ISNUMBER(Datos!M18),Datos!M18," - ")</f>
        <v>20</v>
      </c>
      <c r="E18" s="452">
        <f>IF(ISNUMBER(D18/B18),D18/B18," - ")</f>
        <v>20</v>
      </c>
      <c r="F18" s="451">
        <f>IF(ISNUMBER(Datos!N18),Datos!N18," - ")</f>
        <v>108</v>
      </c>
      <c r="G18" s="452">
        <f>IF(ISNUMBER(F18/B18),F18/B18," - ")</f>
        <v>108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270</v>
      </c>
      <c r="E23" s="1147">
        <f t="shared" si="3"/>
        <v>54</v>
      </c>
      <c r="F23" s="1146">
        <f>SUBTOTAL(9,F16:F22)</f>
        <v>1139</v>
      </c>
      <c r="G23" s="1147">
        <f t="shared" si="4"/>
        <v>227.8</v>
      </c>
      <c r="H23" s="1146">
        <f>SUBTOTAL(9,H16:H22)</f>
        <v>34</v>
      </c>
      <c r="I23" s="1147">
        <f>IF(ISNUMBER(H23/B23),H23/B23," - ")</f>
        <v>6.8</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14</v>
      </c>
      <c r="C31" s="1084">
        <f>Datos!AR31</f>
        <v>14</v>
      </c>
      <c r="D31" s="1084">
        <f>SUBTOTAL(9,D8:D30)</f>
        <v>875</v>
      </c>
      <c r="E31" s="1085">
        <f>IF(ISNUMBER(D31/B31),D31/B31," - ")</f>
        <v>62.5</v>
      </c>
      <c r="F31" s="1084">
        <f>SUBTOTAL(9,F8:F30)</f>
        <v>2335</v>
      </c>
      <c r="G31" s="1085">
        <f>IF(ISNUMBER(F31/B31),F31/B31," - ")</f>
        <v>166.78571428571428</v>
      </c>
      <c r="H31" s="1084">
        <f>SUBTOTAL(9,H8:H30)</f>
        <v>1206</v>
      </c>
      <c r="I31" s="1085">
        <f>IF(ISNUMBER(H31/B31),H31/B31," - ")</f>
        <v>86.142857142857139</v>
      </c>
    </row>
    <row r="34" spans="1:1">
      <c r="A34" s="439" t="str">
        <f>Criterios!A4</f>
        <v>Fecha Informe: 06 may. 2023</v>
      </c>
    </row>
    <row r="39" spans="1:1">
      <c r="A39" s="462"/>
    </row>
  </sheetData>
  <sheetProtection algorithmName="SHA-512" hashValue="zDj5XKh3Jlzi/3ae2oMvGE55kYMiga/FeZifbOj+xRxW1cdqEvVtG3eR2LmhOv72DA+BoM/HTA3XyV12IzPIBQ==" saltValue="83yBv3FDCV0BhLP4syYTw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TERRASSA</v>
      </c>
    </row>
    <row r="5" spans="1:4" ht="12.75" customHeight="1">
      <c r="A5" s="1591" t="str">
        <f>"Año:  " &amp;Criterios!B5 &amp; "                  Trimestre   " &amp;Criterios!D5 &amp; " al " &amp;Criterios!D6</f>
        <v>Año:  2022                  Trimestre   3 al 3</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640</v>
      </c>
      <c r="C9" s="489">
        <f>IF(ISNUMBER(Datos!Q9),Datos!Q9," - ")</f>
        <v>1797</v>
      </c>
      <c r="D9" s="456">
        <f>IF(ISNUMBER(Datos!R9),Datos!R9," - ")</f>
        <v>12782</v>
      </c>
    </row>
    <row r="10" spans="1:4">
      <c r="A10" s="450" t="str">
        <f>Datos!A10</f>
        <v>Jdos. Violencia contra la mujer</v>
      </c>
      <c r="B10" s="488">
        <f>IF(ISNUMBER(Datos!P10),Datos!P10," - ")</f>
        <v>4</v>
      </c>
      <c r="C10" s="489">
        <f>IF(ISNUMBER(Datos!Q10),Datos!Q10," - ")</f>
        <v>4</v>
      </c>
      <c r="D10" s="456">
        <f>IF(ISNUMBER(Datos!R10),Datos!R10," - ")</f>
        <v>220</v>
      </c>
    </row>
    <row r="11" spans="1:4">
      <c r="A11" s="450" t="str">
        <f>Datos!A11</f>
        <v xml:space="preserve">Jdos. Familia                                   </v>
      </c>
      <c r="B11" s="488">
        <f>IF(ISNUMBER(Datos!P11),Datos!P11," - ")</f>
        <v>70</v>
      </c>
      <c r="C11" s="489">
        <f>IF(ISNUMBER(Datos!Q11),Datos!Q11," - ")</f>
        <v>57</v>
      </c>
      <c r="D11" s="456">
        <f>IF(ISNUMBER(Datos!R11),Datos!R11," - ")</f>
        <v>664</v>
      </c>
    </row>
    <row r="12" spans="1:4">
      <c r="A12" s="450" t="str">
        <f>Datos!A12</f>
        <v xml:space="preserve">Jdos. 1ª Instª. e Instr.                        </v>
      </c>
      <c r="B12" s="488" t="str">
        <f>IF(ISNUMBER(Datos!P12),Datos!P12," - ")</f>
        <v xml:space="preserve"> - </v>
      </c>
      <c r="C12" s="489" t="str">
        <f>IF(ISNUMBER(Datos!Q12),Datos!Q12," - ")</f>
        <v xml:space="preserve"> - </v>
      </c>
      <c r="D12" s="456" t="str">
        <f>IF(ISNUMBER(Datos!R12),Datos!R12," - ")</f>
        <v xml:space="preserve"> - </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714</v>
      </c>
      <c r="C14" s="1150">
        <f>SUBTOTAL(9,C9:C13)</f>
        <v>1858</v>
      </c>
      <c r="D14" s="1148">
        <f>SUBTOTAL(9,D9:D13)</f>
        <v>13666</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68</v>
      </c>
      <c r="C16" s="489">
        <f>IF(ISNUMBER(Datos!Q16),Datos!Q16," - ")</f>
        <v>163</v>
      </c>
      <c r="D16" s="456">
        <f>IF(ISNUMBER(Datos!R16),Datos!R16," - ")</f>
        <v>301</v>
      </c>
    </row>
    <row r="17" spans="1:4">
      <c r="A17" s="450" t="str">
        <f>Datos!A17</f>
        <v xml:space="preserve">Jdos. 1ª Instª. e Instr.                        </v>
      </c>
      <c r="B17" s="488" t="str">
        <f>IF(ISNUMBER(Datos!P17),Datos!P17," - ")</f>
        <v xml:space="preserve"> - </v>
      </c>
      <c r="C17" s="489" t="str">
        <f>IF(ISNUMBER(Datos!Q17),Datos!Q17," - ")</f>
        <v xml:space="preserve"> - </v>
      </c>
      <c r="D17" s="456" t="str">
        <f>IF(ISNUMBER(Datos!R17),Datos!R17," - ")</f>
        <v xml:space="preserve"> - </v>
      </c>
    </row>
    <row r="18" spans="1:4">
      <c r="A18" s="450" t="str">
        <f>Datos!A18</f>
        <v>Jdos. Violencia contra la mujer</v>
      </c>
      <c r="B18" s="488">
        <f>IF(ISNUMBER(Datos!P18),Datos!P18," - ")</f>
        <v>2</v>
      </c>
      <c r="C18" s="489">
        <f>IF(ISNUMBER(Datos!Q18),Datos!Q18," - ")</f>
        <v>1</v>
      </c>
      <c r="D18" s="456">
        <f>IF(ISNUMBER(Datos!R18),Datos!R18," - ")</f>
        <v>4</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70</v>
      </c>
      <c r="C23" s="1150">
        <f>SUBTOTAL(9,C16:C22)</f>
        <v>164</v>
      </c>
      <c r="D23" s="1148">
        <f>SUBTOTAL(9,D16:D22)</f>
        <v>305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784</v>
      </c>
      <c r="C31" s="1089">
        <f>SUBTOTAL(9,C8:C30)</f>
        <v>2022</v>
      </c>
      <c r="D31" s="1090">
        <f>SUBTOTAL(9,D8:D30)</f>
        <v>13971</v>
      </c>
    </row>
    <row r="32" spans="1:4" ht="7.5" customHeight="1"/>
    <row r="33" spans="1:1" ht="6" customHeight="1"/>
    <row r="34" spans="1:1">
      <c r="A34" s="439" t="str">
        <f>Criterios!A4</f>
        <v>Fecha Informe: 06 may. 2023</v>
      </c>
    </row>
    <row r="39" spans="1:1">
      <c r="A39" s="462"/>
    </row>
  </sheetData>
  <sheetProtection algorithmName="SHA-512" hashValue="+x6ksrX/Fpei8Eztyz/994+dytePGJ0KfO9BUqqT9cvxlHf22sPmXzp0uQU5XzPkmovjTu0w18bt5lXBycPaiA==" saltValue="pxiyBdDdSY9KAU8uvJruS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TERRASSA</v>
      </c>
    </row>
    <row r="5" spans="1:11" ht="12.75" customHeight="1">
      <c r="A5" s="1591" t="str">
        <f>"Año:  " &amp;Criterios!B5 &amp; "    Trimestre   " &amp;Criterios!D5 &amp; " al " &amp;Criterios!D6</f>
        <v>Año:  2022    Trimestre   3 al 3</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0.10486160397444996</v>
      </c>
      <c r="C9" s="515">
        <f>IF(ISNUMBER(
   IF(J_V="SI",(Datos!J9-Datos!T9)/Datos!T9,(Datos!J9+Datos!Z9-(Datos!T9+Datos!AH9))/(Datos!T9+Datos!AH9))
     ),IF(J_V="SI",(Datos!J9-Datos!T9)/Datos!T9,(Datos!J9+Datos!Z9-(Datos!T9+Datos!AH9))/(Datos!T9+Datos!AH9))," - ")</f>
        <v>0.22055888223552894</v>
      </c>
      <c r="D9" s="515">
        <f>IF(ISNUMBER(
   IF(J_V="SI",(Datos!K9-Datos!U9)/Datos!U9,(Datos!K9+Datos!AA9-(Datos!U9+Datos!AI9))/(Datos!U9+Datos!AI9))
     ),IF(J_V="SI",(Datos!K9-Datos!U9)/Datos!U9,(Datos!K9+Datos!AA9-(Datos!U9+Datos!AI9))/(Datos!U9+Datos!AI9))," - ")</f>
        <v>0.18675352877307275</v>
      </c>
      <c r="E9" s="515">
        <f>IF(ISNUMBER(
   IF(J_V="SI",(Datos!L9-Datos!V9)/Datos!V9,(Datos!L9+Datos!AB9-(Datos!V9+Datos!AJ9))/(Datos!V9+Datos!AJ9))
     ),IF(J_V="SI",(Datos!L9-Datos!V9)/Datos!V9,(Datos!L9+Datos!AB9-(Datos!V9+Datos!AJ9))/(Datos!V9+Datos!AJ9))," - ")</f>
        <v>5.2742616033755275E-2</v>
      </c>
      <c r="F9" s="515">
        <f>IF(ISNUMBER((Datos!M9-Datos!W9)/Datos!W9),(Datos!M9-Datos!W9)/Datos!W9," - ")</f>
        <v>0.36858006042296071</v>
      </c>
      <c r="G9" s="516">
        <f>IF(ISNUMBER((Datos!N9-Datos!X9)/Datos!X9),(Datos!N9-Datos!X9)/Datos!X9," - ")</f>
        <v>0.43145743145743148</v>
      </c>
      <c r="H9" s="514">
        <f>IF(ISNUMBER(((NºAsuntos!G9/NºAsuntos!E9)-Datos!BD9)/Datos!BD9),((NºAsuntos!G9/NºAsuntos!E9)-Datos!BD9)/Datos!BD9," - ")</f>
        <v>-2.7696618290581426E-2</v>
      </c>
      <c r="I9" s="515">
        <f>IF(ISNUMBER(((NºAsuntos!I9/NºAsuntos!G9)-Datos!BE9)/Datos!BE9),((NºAsuntos!I9/NºAsuntos!G9)-Datos!BE9)/Datos!BE9," - ")</f>
        <v>-0.11292227871263624</v>
      </c>
      <c r="J9" s="521">
        <f>IF(ISNUMBER((('Resol  Asuntos'!D9/NºAsuntos!G9)-Datos!BF9)/Datos!BF9),(('Resol  Asuntos'!D9/NºAsuntos!G9)-Datos!BF9)/Datos!BF9," - ")</f>
        <v>-0.44918667791494871</v>
      </c>
      <c r="K9" s="522">
        <f>IF(ISNUMBER((((NºAsuntos!C9+NºAsuntos!E9)/NºAsuntos!G9)-Datos!BG9)/Datos!BG9),(((NºAsuntos!C9+NºAsuntos!E9)/NºAsuntos!G9)-Datos!BG9)/Datos!BG9," - ")</f>
        <v>-4.3432864061160259E-2</v>
      </c>
    </row>
    <row r="10" spans="1:11">
      <c r="A10" s="450" t="str">
        <f>Datos!A10</f>
        <v>Jdos. Violencia contra la mujer</v>
      </c>
      <c r="B10" s="514">
        <f>IF(ISNUMBER((Datos!I10-Datos!S10)/Datos!S10),(Datos!I10-Datos!S10)/Datos!S10," - ")</f>
        <v>-0.16279069767441862</v>
      </c>
      <c r="C10" s="515">
        <f>IF(ISNUMBER((Datos!J10-Datos!T10)/Datos!T10),(Datos!J10-Datos!T10)/Datos!T10," - ")</f>
        <v>-0.1875</v>
      </c>
      <c r="D10" s="515">
        <f>IF(ISNUMBER((Datos!K10-Datos!U10)/Datos!U10),(Datos!K10-Datos!U10)/Datos!U10," - ")</f>
        <v>0.10714285714285714</v>
      </c>
      <c r="E10" s="515">
        <f>IF(ISNUMBER((Datos!L10-Datos!V10)/Datos!V10),(Datos!L10-Datos!V10)/Datos!V10," - ")</f>
        <v>-0.25555555555555554</v>
      </c>
      <c r="F10" s="515">
        <f>IF(ISNUMBER((Datos!M10-Datos!W10)/Datos!W10),(Datos!M10-Datos!W10)/Datos!W10," - ")</f>
        <v>0.375</v>
      </c>
      <c r="G10" s="516">
        <f>IF(ISNUMBER((Datos!N10-Datos!X10)/Datos!X10),(Datos!N10-Datos!X10)/Datos!X10," - ")</f>
        <v>-6.25E-2</v>
      </c>
      <c r="H10" s="514">
        <f>IF(ISNUMBER(((NºAsuntos!G10/NºAsuntos!E10)-Datos!BD10)/Datos!BD10),((NºAsuntos!G10/NºAsuntos!E10)-Datos!BD10)/Datos!BD10," - ")</f>
        <v>0.36263736263736263</v>
      </c>
      <c r="I10" s="515">
        <f>IF(ISNUMBER(((NºAsuntos!I10/NºAsuntos!G10)-Datos!BE10)/Datos!BE10),((NºAsuntos!I10/NºAsuntos!G10)-Datos!BE10)/Datos!BE10," - ")</f>
        <v>-0.3275985663082438</v>
      </c>
      <c r="J10" s="521">
        <f>IF(ISNUMBER((('Resol  Asuntos'!D10/NºAsuntos!G10)-Datos!BF10)/Datos!BF10),(('Resol  Asuntos'!D10/NºAsuntos!G10)-Datos!BF10)/Datos!BF10," - ")</f>
        <v>0.24193548387096786</v>
      </c>
      <c r="K10" s="522">
        <f>IF(ISNUMBER((((NºAsuntos!C10+NºAsuntos!E10)/NºAsuntos!G10)-Datos!BG10)/Datos!BG10),(((NºAsuntos!C10+NºAsuntos!E10)/NºAsuntos!G10)-Datos!BG10)/Datos!BG10," - ")</f>
        <v>-0.24986331328594866</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-7.2756669361358122E-3</v>
      </c>
      <c r="C11" s="515">
        <f>IF(ISNUMBER(
   IF(J_V="SI",(Datos!J11-Datos!T11)/Datos!T11,(Datos!J11+Datos!Z11-(Datos!T11+Datos!AH11))/(Datos!T11+Datos!AH11))
     ),IF(J_V="SI",(Datos!J11-Datos!T11)/Datos!T11,(Datos!J11+Datos!Z11-(Datos!T11+Datos!AH11))/(Datos!T11+Datos!AH11))," - ")</f>
        <v>-0.14754098360655737</v>
      </c>
      <c r="D11" s="515">
        <f>IF(ISNUMBER(
   IF(J_V="SI",(Datos!K11-Datos!U11)/Datos!U11,(Datos!K11+Datos!AA11-(Datos!U11+Datos!AI11))/(Datos!U11+Datos!AI11))
     ),IF(J_V="SI",(Datos!K11-Datos!U11)/Datos!U11,(Datos!K11+Datos!AA11-(Datos!U11+Datos!AI11))/(Datos!U11+Datos!AI11))," - ")</f>
        <v>-0.29520295202952029</v>
      </c>
      <c r="E11" s="515">
        <f>IF(ISNUMBER(
   IF(J_V="SI",(Datos!L11-Datos!V11)/Datos!V11,(Datos!L11+Datos!AB11-(Datos!V11+Datos!AJ11))/(Datos!V11+Datos!AJ11))
     ),IF(J_V="SI",(Datos!L11-Datos!V11)/Datos!V11,(Datos!L11+Datos!AB11-(Datos!V11+Datos!AJ11))/(Datos!V11+Datos!AJ11))," - ")</f>
        <v>3.1681559707554832E-2</v>
      </c>
      <c r="F11" s="515">
        <f>IF(ISNUMBER((Datos!M11-Datos!W11)/Datos!W11),(Datos!M11-Datos!W11)/Datos!W11," - ")</f>
        <v>-0.26943005181347152</v>
      </c>
      <c r="G11" s="516">
        <f>IF(ISNUMBER((Datos!N11-Datos!X11)/Datos!X11),(Datos!N11-Datos!X11)/Datos!X11," - ")</f>
        <v>0.18867924528301888</v>
      </c>
      <c r="H11" s="514">
        <f>IF(ISNUMBER(((NºAsuntos!G11/NºAsuntos!E11)-Datos!BD11)/Datos!BD11),((NºAsuntos!G11/NºAsuntos!E11)-Datos!BD11)/Datos!BD11," - ")</f>
        <v>-0.17321884757309111</v>
      </c>
      <c r="I11" s="515">
        <f>IF(ISNUMBER(((NºAsuntos!I11/NºAsuntos!G11)-Datos!BE11)/Datos!BE11),((NºAsuntos!I11/NºAsuntos!G11)-Datos!BE11)/Datos!BE11," - ")</f>
        <v>0.46379949047511709</v>
      </c>
      <c r="J11" s="521">
        <f>IF(ISNUMBER((('Resol  Asuntos'!D11/NºAsuntos!G11)-Datos!BF11)/Datos!BF11),(('Resol  Asuntos'!D11/NºAsuntos!G11)-Datos!BF11)/Datos!BF11," - ")</f>
        <v>0.25822384668576492</v>
      </c>
      <c r="K11" s="522">
        <f>IF(ISNUMBER((((NºAsuntos!C11+NºAsuntos!E11)/NºAsuntos!G11)-Datos!BG11)/Datos!BG11),(((NºAsuntos!C11+NºAsuntos!E11)/NºAsuntos!G11)-Datos!BG11)/Datos!BG11," - ")</f>
        <v>0.35222399271568416</v>
      </c>
    </row>
    <row r="12" spans="1:11">
      <c r="A12" s="450" t="str">
        <f>Datos!A12</f>
        <v xml:space="preserve">Jdos. 1ª Instª. e Instr.                        </v>
      </c>
      <c r="B12" s="514" t="str">
        <f>IF(ISNUMBER(
   IF(J_V="SI",(Datos!I12-Datos!S12)/Datos!S12,(Datos!I12+Datos!Y12-(Datos!S12+Datos!AG12))/(Datos!S12+Datos!AG12))
     ),IF(J_V="SI",(Datos!I12-Datos!S12)/Datos!S12,(Datos!I12+Datos!Y12-(Datos!S12+Datos!AG12))/(Datos!S12+Datos!AG12))," - ")</f>
        <v xml:space="preserve"> - </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t="str">
        <f>IF(ISNUMBER(
   IF(J_V="SI",(Datos!L12-Datos!V12)/Datos!V12,(Datos!L12+Datos!AB12-(Datos!V12+Datos!AJ12))/(Datos!V12+Datos!AJ12))
     ),IF(J_V="SI",(Datos!L12-Datos!V12)/Datos!V12,(Datos!L12+Datos!AB12-(Datos!V12+Datos!AJ12))/(Datos!V12+Datos!AJ12))," - ")</f>
        <v xml:space="preserve"> - </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8.1620922546342872E-2</v>
      </c>
      <c r="C14" s="1152">
        <f>IF(ISNUMBER(
   IF(J_V="SI",(Datos!J14-Datos!T14)/Datos!T14,(Datos!J14+Datos!Z14-(Datos!T14+Datos!AH14))/(Datos!T14+Datos!AH14))
     ),IF(J_V="SI",(Datos!J14-Datos!T14)/Datos!T14,(Datos!J14+Datos!Z14-(Datos!T14+Datos!AH14))/(Datos!T14+Datos!AH14))," - ")</f>
        <v>0.14421553090332806</v>
      </c>
      <c r="D14" s="1152">
        <f>IF(ISNUMBER(
   IF(J_V="SI",(Datos!K14-Datos!U14)/Datos!U14,(Datos!K14+Datos!AA14-(Datos!U14+Datos!AI14))/(Datos!U14+Datos!AI14))
     ),IF(J_V="SI",(Datos!K14-Datos!U14)/Datos!U14,(Datos!K14+Datos!AA14-(Datos!U14+Datos!AI14))/(Datos!U14+Datos!AI14))," - ")</f>
        <v>7.7529021558872299E-2</v>
      </c>
      <c r="E14" s="1152">
        <f>IF(ISNUMBER(
   IF(J_V="SI",(Datos!L14-Datos!V14)/Datos!V14,(Datos!L14+Datos!AB14-(Datos!V14+Datos!AJ14))/(Datos!V14+Datos!AJ14))
     ),IF(J_V="SI",(Datos!L14-Datos!V14)/Datos!V14,(Datos!L14+Datos!AB14-(Datos!V14+Datos!AJ14))/(Datos!V14+Datos!AJ14))," - ")</f>
        <v>4.5569958572764933E-2</v>
      </c>
      <c r="F14" s="1153">
        <f>IF(ISNUMBER((Datos!M14-Datos!W14)/Datos!W14),(Datos!M14-Datos!W14)/Datos!W14," - ")</f>
        <v>0.13721804511278196</v>
      </c>
      <c r="G14" s="1154">
        <f>IF(ISNUMBER((Datos!N14-Datos!X14)/Datos!X14),(Datos!N14-Datos!X14)/Datos!X14," - ")</f>
        <v>0.37788018433179721</v>
      </c>
      <c r="H14" s="1154">
        <f>IF(ISNUMBER(((NºAsuntos!G14/NºAsuntos!E14)-Datos!BD14)/Datos!BD14),((NºAsuntos!G14/NºAsuntos!E14)-Datos!BD14)/Datos!BD14," - ")</f>
        <v>-5.8281422986636584E-2</v>
      </c>
      <c r="I14" s="1154">
        <f>IF(ISNUMBER(((NºAsuntos!I14/NºAsuntos!G14)-Datos!BE14)/Datos!BE14),((NºAsuntos!I14/NºAsuntos!G14)-Datos!BE14)/Datos!BE14," - ")</f>
        <v>-2.965958442573717E-2</v>
      </c>
      <c r="J14" s="1154">
        <f>IF(ISNUMBER((('Resol  Asuntos'!D14/NºAsuntos!G14)-Datos!BF14)/Datos!BF14),(('Resol  Asuntos'!D14/NºAsuntos!G14)-Datos!BF14)/Datos!BF14," - ")</f>
        <v>-0.34712814409835624</v>
      </c>
      <c r="K14" s="1154">
        <f>IF(ISNUMBER((((NºAsuntos!C14+NºAsuntos!E14)/NºAsuntos!G14)-Datos!BG14)/Datos!BG14),(((NºAsuntos!C14+NºAsuntos!E14)/NºAsuntos!G14)-Datos!BG14)/Datos!BG14," - ")</f>
        <v>1.9258982995309176E-2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5.9293804130579615E-2</v>
      </c>
      <c r="C16" s="515">
        <f>IF(ISNUMBER(
   IF(D_I="SI",(Datos!J16-Datos!T16)/Datos!T16,(Datos!J16+Datos!AD16-(Datos!T16+Datos!AL16))/(Datos!T16+Datos!AL16))
     ),IF(D_I="SI",(Datos!J16-Datos!T16)/Datos!T16,(Datos!J16+Datos!AD16-(Datos!T16+Datos!AL16))/(Datos!T16+Datos!AL16))," - ")</f>
        <v>0.10306242638398115</v>
      </c>
      <c r="D16" s="515">
        <f>IF(ISNUMBER(
   IF(D_I="SI",(Datos!K16-Datos!U16)/Datos!U16,(Datos!K16+Datos!AE16-(Datos!U16+Datos!AM16))/(Datos!U16+Datos!AM16))
     ),IF(D_I="SI",(Datos!K16-Datos!U16)/Datos!U16,(Datos!K16+Datos!AE16-(Datos!U16+Datos!AM16))/(Datos!U16+Datos!AM16))," - ")</f>
        <v>0.1041147132169576</v>
      </c>
      <c r="E16" s="515">
        <f>IF(ISNUMBER(
   IF(D_I="SI",(Datos!L16-Datos!V16)/Datos!V16,(Datos!L16+Datos!AF16-(Datos!V16+Datos!AN16))/(Datos!V16+Datos!AN16))
     ),IF(D_I="SI",(Datos!L16-Datos!V16)/Datos!V16,(Datos!L16+Datos!AF16-(Datos!V16+Datos!AN16))/(Datos!V16+Datos!AN16))," - ")</f>
        <v>8.1481481481481488E-2</v>
      </c>
      <c r="F16" s="515">
        <f>IF(ISNUMBER((Datos!M16-Datos!W16)/Datos!W16),(Datos!M16-Datos!W16)/Datos!W16," - ")</f>
        <v>-9.420289855072464E-2</v>
      </c>
      <c r="G16" s="516">
        <f>IF(ISNUMBER((Datos!N16-Datos!X16)/Datos!X16),(Datos!N16-Datos!X16)/Datos!X16," - ")</f>
        <v>0.20443925233644861</v>
      </c>
      <c r="H16" s="514">
        <f>IF(ISNUMBER(((NºAsuntos!G16/NºAsuntos!E16)-Datos!BD16)/Datos!BD16),((NºAsuntos!G16/NºAsuntos!E16)-Datos!BD16)/Datos!BD16," - ")</f>
        <v>9.5396852236729148E-4</v>
      </c>
      <c r="I16" s="515">
        <f>IF(ISNUMBER(((NºAsuntos!I16/NºAsuntos!G16)-Datos!BE16)/Datos!BE16),((NºAsuntos!I16/NºAsuntos!G16)-Datos!BE16)/Datos!BE16," - ")</f>
        <v>-2.0498985716377035E-2</v>
      </c>
      <c r="J16" s="521">
        <f>IF(ISNUMBER((('Resol  Asuntos'!D16/NºAsuntos!G16)-Datos!BF16)/Datos!BF16),(('Resol  Asuntos'!D16/NºAsuntos!G16)-Datos!BF16)/Datos!BF16," - ")</f>
        <v>-0.17961685447507755</v>
      </c>
      <c r="K16" s="522">
        <f>IF(ISNUMBER((((NºAsuntos!C16+NºAsuntos!E16)/NºAsuntos!G16)-Datos!BG16)/Datos!BG16),(((NºAsuntos!C16+NºAsuntos!E16)/NºAsuntos!G16)-Datos!BG16)/Datos!BG16," - ")</f>
        <v>-1.955315299159165E-2</v>
      </c>
    </row>
    <row r="17" spans="1:11">
      <c r="A17" s="450" t="str">
        <f>Datos!A17</f>
        <v xml:space="preserve">Jdos. 1ª Instª. e Instr.                        </v>
      </c>
      <c r="B17" s="514" t="str">
        <f>IF(ISNUMBER(
   IF(D_I="SI",(Datos!I17-Datos!S17)/Datos!S17,(Datos!I17+Datos!AC17-(Datos!S17+Datos!AK17))/(Datos!S17+Datos!AK17))
     ),IF(D_I="SI",(Datos!I17-Datos!S17)/Datos!S17,(Datos!I17+Datos!AC17-(Datos!S17+Datos!AK17))/(Datos!S17+Datos!AK17))," - ")</f>
        <v xml:space="preserve"> - </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t="str">
        <f>IF(ISNUMBER(
   IF(D_I="SI",(Datos!L17-Datos!V17)/Datos!V17,(Datos!L17+Datos!AF17-(Datos!V17+Datos!AN17))/(Datos!V17+Datos!AN17))
     ),IF(D_I="SI",(Datos!L17-Datos!V17)/Datos!V17,(Datos!L17+Datos!AF17-(Datos!V17+Datos!AN17))/(Datos!V17+Datos!AN17))," - ")</f>
        <v xml:space="preserve"> - </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0.50602409638554213</v>
      </c>
      <c r="C18" s="515">
        <f>IF(ISNUMBER(
   IF(D_I="SI",(Datos!J18-Datos!T18)/Datos!T18,(Datos!J18+Datos!AD18-(Datos!T18+Datos!AL18))/(Datos!T18+Datos!AL18))
     ),IF(D_I="SI",(Datos!J18-Datos!T18)/Datos!T18,(Datos!J18+Datos!AD18-(Datos!T18+Datos!AL18))/(Datos!T18+Datos!AL18))," - ")</f>
        <v>-9.9206349206349201E-2</v>
      </c>
      <c r="D18" s="515">
        <f>IF(ISNUMBER(
   IF(D_I="SI",(Datos!K18-Datos!U18)/Datos!U18,(Datos!K18+Datos!AE18-(Datos!U18+Datos!AM18))/(Datos!U18+Datos!AM18))
     ),IF(D_I="SI",(Datos!K18-Datos!U18)/Datos!U18,(Datos!K18+Datos!AE18-(Datos!U18+Datos!AM18))/(Datos!U18+Datos!AM18))," - ")</f>
        <v>-9.0517241379310345E-2</v>
      </c>
      <c r="E18" s="515">
        <f>IF(ISNUMBER(
   IF(D_I="SI",(Datos!L18-Datos!V18)/Datos!V18,(Datos!L18+Datos!AF18-(Datos!V18+Datos!AN18))/(Datos!V18+Datos!AN18))
     ),IF(D_I="SI",(Datos!L18-Datos!V18)/Datos!V18,(Datos!L18+Datos!AF18-(Datos!V18+Datos!AN18))/(Datos!V18+Datos!AN18))," - ")</f>
        <v>0.36893203883495146</v>
      </c>
      <c r="F18" s="515">
        <f>IF(ISNUMBER((Datos!M18-Datos!W18)/Datos!W18),(Datos!M18-Datos!W18)/Datos!W18," - ")</f>
        <v>-4.7619047619047616E-2</v>
      </c>
      <c r="G18" s="516">
        <f>IF(ISNUMBER((Datos!N18-Datos!X18)/Datos!X18),(Datos!N18-Datos!X18)/Datos!X18," - ")</f>
        <v>5.8823529411764705E-2</v>
      </c>
      <c r="H18" s="514">
        <f>IF(ISNUMBER(((NºAsuntos!G18/NºAsuntos!E18)-Datos!BD18)/Datos!BD18),((NºAsuntos!G18/NºAsuntos!E18)-Datos!BD18)/Datos!BD18," - ")</f>
        <v>9.6460580282546598E-3</v>
      </c>
      <c r="I18" s="515">
        <f>IF(ISNUMBER(((NºAsuntos!I18/NºAsuntos!G18)-Datos!BE18)/Datos!BE18),((NºAsuntos!I18/NºAsuntos!G18)-Datos!BE18)/Datos!BE18," - ")</f>
        <v>0.50517645976165271</v>
      </c>
      <c r="J18" s="521">
        <f>IF(ISNUMBER((('Resol  Asuntos'!D18/NºAsuntos!G18)-Datos!BF18)/Datos!BF18),(('Resol  Asuntos'!D18/NºAsuntos!G18)-Datos!BF18)/Datos!BF18," - ")</f>
        <v>4.7167682238772206E-2</v>
      </c>
      <c r="K18" s="522">
        <f>IF(ISNUMBER((((NºAsuntos!C18+NºAsuntos!E18)/NºAsuntos!G18)-Datos!BG18)/Datos!BG18),(((NºAsuntos!C18+NºAsuntos!E18)/NºAsuntos!G18)-Datos!BG18)/Datos!BG18," - ")</f>
        <v>0.15532291150880667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8.2702020202020207E-2</v>
      </c>
      <c r="C23" s="1152">
        <f>IF(ISNUMBER(
   IF(Criterios!B14="SI",(Datos!J23-Datos!T23)/Datos!T23,(Datos!J23+Datos!AD23-(Datos!T23+Datos!AL23))/(Datos!T23+Datos!AL23))
     ),IF(Criterios!B14="SI",(Datos!J23-Datos!T23)/Datos!T23,(Datos!J23+Datos!AD23-(Datos!T23+Datos!AL23))/(Datos!T23+Datos!AL23))," - ")</f>
        <v>7.6923076923076927E-2</v>
      </c>
      <c r="D23" s="1152">
        <f>IF(ISNUMBER(
   IF(Criterios!B14="SI",(Datos!K23-Datos!U23)/Datos!U23,(Datos!K23+Datos!AE23-(Datos!U23+Datos!AM23))/(Datos!U23+Datos!AM23))
     ),IF(Criterios!B14="SI",(Datos!K23-Datos!U23)/Datos!U23,(Datos!K23+Datos!AE23-(Datos!U23+Datos!AM23))/(Datos!U23+Datos!AM23))," - ")</f>
        <v>7.9520697167755991E-2</v>
      </c>
      <c r="E23" s="1152">
        <f>IF(ISNUMBER(
   IF(Criterios!B14="SI",(Datos!L23-Datos!V23)/Datos!V23,(Datos!L23+Datos!AF23-(Datos!V23+Datos!AN23))/(Datos!V23+Datos!AN23))
     ),IF(Criterios!B14="SI",(Datos!L23-Datos!V23)/Datos!V23,(Datos!L23+Datos!AF23-(Datos!V23+Datos!AN23))/(Datos!V23+Datos!AN23))," - ")</f>
        <v>9.8665118978525826E-2</v>
      </c>
      <c r="F23" s="1153">
        <f>IF(ISNUMBER((Datos!M23-Datos!W23)/Datos!W23),(Datos!M23-Datos!W23)/Datos!W23," - ")</f>
        <v>-9.0909090909090912E-2</v>
      </c>
      <c r="G23" s="1154">
        <f>IF(ISNUMBER((Datos!N23-Datos!X23)/Datos!X23),(Datos!N23-Datos!X23)/Datos!X23," - ")</f>
        <v>0.18893528183716074</v>
      </c>
      <c r="H23" s="1154">
        <f>IF(ISNUMBER(((NºAsuntos!G23/NºAsuntos!E23)-Datos!BD23)/Datos!BD23),((NºAsuntos!G23/NºAsuntos!E23)-Datos!BD23)/Datos!BD23," - ")</f>
        <v>2.4120759414876505E-3</v>
      </c>
      <c r="I23" s="1154">
        <f>IF(ISNUMBER(((NºAsuntos!I23/NºAsuntos!G23)-Datos!BE23)/Datos!BE23),((NºAsuntos!I23/NºAsuntos!G23)-Datos!BE23)/Datos!BE23," - ")</f>
        <v>1.7734186904426567E-2</v>
      </c>
      <c r="J23" s="1154">
        <f>IF(ISNUMBER((('Resol  Asuntos'!D23/NºAsuntos!G23)-Datos!BF23)/Datos!BF23),(('Resol  Asuntos'!D23/NºAsuntos!G23)-Datos!BF23)/Datos!BF23," - ")</f>
        <v>-0.15787542427300261</v>
      </c>
      <c r="K23" s="1154">
        <f>IF(ISNUMBER((((NºAsuntos!C23+NºAsuntos!E23)/NºAsuntos!G23)-Datos!BG23)/Datos!BG23),(((NºAsuntos!C23+NºAsuntos!E23)/NºAsuntos!G23)-Datos!BG23)/Datos!BG23," - ")</f>
        <v>-6.8528471009581722E-6</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8.1821374224511301E-2</v>
      </c>
      <c r="C31" s="1092">
        <f>IF(ISNUMBER(
   IF(J_V="SI",(Datos!J31-Datos!T31)/Datos!T31,(Datos!J31+Datos!Z31-(Datos!T31+Datos!AH31))/(Datos!T31+Datos!AH31))
     ),IF(J_V="SI",(Datos!J31-Datos!T31)/Datos!T31,(Datos!J31+Datos!Z31-(Datos!T31+Datos!AH31))/(Datos!T31+Datos!AH31))," - ")</f>
        <v>0.11488600804649084</v>
      </c>
      <c r="D31" s="1092">
        <f>IF(ISNUMBER(
   IF(J_V="SI",(Datos!K31-Datos!U31)/Datos!U31,(Datos!K31+Datos!AA31-(Datos!U31+Datos!AI31))/(Datos!U31+Datos!AI31))
     ),IF(J_V="SI",(Datos!K31-Datos!U31)/Datos!U31,(Datos!K31+Datos!AA31-(Datos!U31+Datos!AI31))/(Datos!U31+Datos!AI31))," - ")</f>
        <v>7.8389830508474576E-2</v>
      </c>
      <c r="E31" s="1092">
        <f>IF(ISNUMBER(
   IF(J_V="SI",(Datos!L31-Datos!V31)/Datos!V31,(Datos!L31+Datos!AB31-(Datos!V31+Datos!AJ31))/(Datos!V31+Datos!AJ31))
     ),IF(J_V="SI",(Datos!L31-Datos!V31)/Datos!V31,(Datos!L31+Datos!AB31-(Datos!V31+Datos!AJ31))/(Datos!V31+Datos!AJ31))," - ")</f>
        <v>5.550727786226374E-2</v>
      </c>
      <c r="F31" s="1093">
        <f>IF(ISNUMBER((Datos!M31-Datos!W31)/Datos!W31),(Datos!M31-Datos!W31)/Datos!W31," - ")</f>
        <v>5.5488540410132688E-2</v>
      </c>
      <c r="G31" s="1094">
        <f>IF(ISNUMBER((Datos!N31-Datos!X31)/Datos!X31),(Datos!N31-Datos!X31)/Datos!X31," - ")</f>
        <v>0.2787513691128149</v>
      </c>
      <c r="H31" s="1095">
        <f>IF(ISNUMBER((Tasas!B31-Datos!BD31)/Datos!BD31),(Tasas!B31-Datos!BD31)/Datos!BD31," - ")</f>
        <v>-3.2735344487787719E-2</v>
      </c>
      <c r="I31" s="1096">
        <f>IF(ISNUMBER((Tasas!C31-Datos!BE31)/Datos!BE31),(Tasas!C31-Datos!BE31)/Datos!BE31," - ")</f>
        <v>-2.121918437919745E-2</v>
      </c>
      <c r="J31" s="1097">
        <f>IF(ISNUMBER((Tasas!D31-Datos!BF31)/Datos!BF31),(Tasas!D31-Datos!BF31)/Datos!BF31," - ")</f>
        <v>-0.29870795856094196</v>
      </c>
      <c r="K31" s="1097">
        <f>IF(ISNUMBER((Tasas!E31-Datos!BG31)/Datos!BG31),(Tasas!E31-Datos!BG31)/Datos!BG31," - ")</f>
        <v>1.3720458949480107E-2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iFUwl5Wn2FMsY5yZ/ODNSmgUHES+5Hzm9OV6NocvD/WL6oiPrcNGLGdxaDcCkyaBhz/QDo3ppm/ExXCGfO0eTw==" saltValue="1ax2EV+ddCa5ZIV/xRNSs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TERRASSA</v>
      </c>
    </row>
    <row r="5" spans="1:7" ht="12.75" customHeight="1">
      <c r="A5" s="1591" t="str">
        <f>"Año:  " &amp;Criterios!B5 &amp; "    Trimestre   " &amp;Criterios!D5 &amp; " al " &amp;Criterios!D6</f>
        <v>Año:  2022    Trimestre   3 al 3</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0.8937040065412919</v>
      </c>
      <c r="C9" s="498">
        <f>IF(ISNUMBER(NºAsuntos!I9/NºAsuntos!G9),NºAsuntos!I9/NºAsuntos!G9," - ")</f>
        <v>2.9675205855443734</v>
      </c>
      <c r="D9" s="499">
        <f>IF(ISNUMBER('Resol  Asuntos'!D9/NºAsuntos!G9),'Resol  Asuntos'!D9/NºAsuntos!G9," - ")</f>
        <v>0.20722781335773102</v>
      </c>
      <c r="E9" s="500">
        <f>IF(ISNUMBER((NºAsuntos!C9+NºAsuntos!E9)/NºAsuntos!G9),(NºAsuntos!C9+NºAsuntos!E9)/NºAsuntos!G9," - ")</f>
        <v>3.9675205855443734</v>
      </c>
      <c r="G9" s="523"/>
    </row>
    <row r="10" spans="1:7">
      <c r="A10" s="450" t="str">
        <f>Datos!A10</f>
        <v>Jdos. Violencia contra la mujer</v>
      </c>
      <c r="B10" s="497">
        <f>IF(ISNUMBER(NºAsuntos!G10/NºAsuntos!E10),NºAsuntos!G10/NºAsuntos!E10," - ")</f>
        <v>1.1923076923076923</v>
      </c>
      <c r="C10" s="498">
        <f>IF(ISNUMBER(NºAsuntos!I10/NºAsuntos!G10),NºAsuntos!I10/NºAsuntos!G10," - ")</f>
        <v>2.161290322580645</v>
      </c>
      <c r="D10" s="499">
        <f>IF(ISNUMBER('Resol  Asuntos'!D10/NºAsuntos!G10),'Resol  Asuntos'!D10/NºAsuntos!G10," - ")</f>
        <v>0.35483870967741937</v>
      </c>
      <c r="E10" s="500">
        <f>IF(ISNUMBER((NºAsuntos!C10+NºAsuntos!E10)/NºAsuntos!G10),(NºAsuntos!C10+NºAsuntos!E10)/NºAsuntos!G10," - ")</f>
        <v>3.161290322580645</v>
      </c>
      <c r="G10" s="523"/>
    </row>
    <row r="11" spans="1:7">
      <c r="A11" s="450" t="str">
        <f>Datos!A11</f>
        <v xml:space="preserve">Jdos. Familia                                   </v>
      </c>
      <c r="B11" s="497">
        <f>IF(ISNUMBER(NºAsuntos!G11/NºAsuntos!E11),NºAsuntos!G11/NºAsuntos!E11," - ")</f>
        <v>0.91826923076923073</v>
      </c>
      <c r="C11" s="498">
        <f>IF(ISNUMBER(NºAsuntos!I11/NºAsuntos!G11),NºAsuntos!I11/NºAsuntos!G11," - ")</f>
        <v>3.3246073298429319</v>
      </c>
      <c r="D11" s="499">
        <f>IF(ISNUMBER('Resol  Asuntos'!D11/NºAsuntos!G11),'Resol  Asuntos'!D11/NºAsuntos!G11," - ")</f>
        <v>0.36910994764397903</v>
      </c>
      <c r="E11" s="500">
        <f>IF(ISNUMBER((NºAsuntos!C11+NºAsuntos!E11)/NºAsuntos!G11),(NºAsuntos!C11+NºAsuntos!E11)/NºAsuntos!G11," - ")</f>
        <v>4.3036649214659688</v>
      </c>
      <c r="G11" s="523"/>
    </row>
    <row r="12" spans="1:7">
      <c r="A12" s="450" t="str">
        <f>Datos!A12</f>
        <v xml:space="preserve">Jdos. 1ª Instª. e Instr.                        </v>
      </c>
      <c r="B12" s="497" t="str">
        <f>IF(ISNUMBER(NºAsuntos!G12/NºAsuntos!E12),NºAsuntos!G12/NºAsuntos!E12," - ")</f>
        <v xml:space="preserve"> - </v>
      </c>
      <c r="C12" s="498" t="str">
        <f>IF(ISNUMBER(NºAsuntos!I12/NºAsuntos!G12),NºAsuntos!I12/NºAsuntos!G12," - ")</f>
        <v xml:space="preserve"> - </v>
      </c>
      <c r="D12" s="499" t="str">
        <f>IF(ISNUMBER('Resol  Asuntos'!D12/NºAsuntos!G12),'Resol  Asuntos'!D12/NºAsuntos!G12," - ")</f>
        <v xml:space="preserve"> - </v>
      </c>
      <c r="E12" s="500" t="str">
        <f>IF(ISNUMBER((NºAsuntos!C12+NºAsuntos!E12)/NºAsuntos!G12),(NºAsuntos!C12+NºAsuntos!E12)/NºAsuntos!G12," - ")</f>
        <v xml:space="preserve"> - </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0.89993074792243766</v>
      </c>
      <c r="C14" s="1156">
        <f>IF(ISNUMBER(NºAsuntos!I14/NºAsuntos!G14),NºAsuntos!I14/NºAsuntos!G14," - ")</f>
        <v>3.0103886110042324</v>
      </c>
      <c r="D14" s="1157">
        <f>IF(ISNUMBER('Resol  Asuntos'!D14/NºAsuntos!G14),'Resol  Asuntos'!D14/NºAsuntos!G14," - ")</f>
        <v>0.23278183916891113</v>
      </c>
      <c r="E14" s="1158">
        <f>IF(ISNUMBER((NºAsuntos!C14+NºAsuntos!E14)/NºAsuntos!G14),(NºAsuntos!C14+NºAsuntos!E14)/NºAsuntos!G14," - ")</f>
        <v>4.0073105040400154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0.94554191137213028</v>
      </c>
      <c r="C16" s="498">
        <f>IF(ISNUMBER(NºAsuntos!I16/NºAsuntos!G16),NºAsuntos!I16/NºAsuntos!G16," - ")</f>
        <v>0.98927159796725017</v>
      </c>
      <c r="D16" s="499">
        <f>IF(ISNUMBER('Resol  Asuntos'!D16/NºAsuntos!G16),'Resol  Asuntos'!D16/NºAsuntos!G16," - ")</f>
        <v>0.1411631846414455</v>
      </c>
      <c r="E16" s="500">
        <f>IF(ISNUMBER((NºAsuntos!C16+NºAsuntos!E16)/NºAsuntos!G16),(NºAsuntos!C16+NºAsuntos!E16)/NºAsuntos!G16," - ")</f>
        <v>1.9553924336533033</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0.92951541850220265</v>
      </c>
      <c r="C18" s="498">
        <f>IF(ISNUMBER(NºAsuntos!I18/NºAsuntos!G18),NºAsuntos!I18/NºAsuntos!G18," - ")</f>
        <v>0.66824644549763035</v>
      </c>
      <c r="D18" s="499">
        <f>IF(ISNUMBER('Resol  Asuntos'!D18/NºAsuntos!G18),'Resol  Asuntos'!D18/NºAsuntos!G18," - ")</f>
        <v>9.4786729857819899E-2</v>
      </c>
      <c r="E18" s="500">
        <f>IF(ISNUMBER((NºAsuntos!C18+NºAsuntos!E18)/NºAsuntos!G18),(NºAsuntos!C18+NºAsuntos!E18)/NºAsuntos!G18," - ")</f>
        <v>1.6682464454976302</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0.94380952380952376</v>
      </c>
      <c r="C23" s="1156">
        <f>IF(ISNUMBER(NºAsuntos!I23/NºAsuntos!G23),NºAsuntos!I23/NºAsuntos!G23," - ")</f>
        <v>0.95509586276488401</v>
      </c>
      <c r="D23" s="1159">
        <f>IF(ISNUMBER('Resol  Asuntos'!D23/NºAsuntos!G23),'Resol  Asuntos'!D23/NºAsuntos!G23," - ")</f>
        <v>0.136226034308779</v>
      </c>
      <c r="E23" s="1158">
        <f>IF(ISNUMBER((NºAsuntos!C23+NºAsuntos!E23)/NºAsuntos!G23),(NºAsuntos!C23+NºAsuntos!E23)/NºAsuntos!G23," - ")</f>
        <v>1.9248234106962665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0.91840417000801922</v>
      </c>
      <c r="C31" s="1099">
        <f>IF(ISNUMBER(NºAsuntos!I31/NºAsuntos!G31),NºAsuntos!I31/NºAsuntos!G31," - ")</f>
        <v>2.1211525867714474</v>
      </c>
      <c r="D31" s="1100">
        <f>IF(ISNUMBER('Resol  Asuntos'!D31/NºAsuntos!G31),'Resol  Asuntos'!D31/NºAsuntos!G31," - ")</f>
        <v>0.19100633049552498</v>
      </c>
      <c r="E31" s="1101">
        <f>IF(ISNUMBER((NºAsuntos!C31+NºAsuntos!E31)/NºAsuntos!G31),(NºAsuntos!C31+NºAsuntos!E31)/NºAsuntos!G31," - ")</f>
        <v>3.1063086662300807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lBWgTvXPYnAO/xvJ3DoNqzF+KnHa5T+sKDwqOgxX76JdK2UV6ZhBw/tTfs960ARRCzLpyPNR4FswrtWi5yW4vQ==" saltValue="vKRAjc2ruo3iBY8/9kQAl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TERRASSA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3 al 3</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7</v>
      </c>
      <c r="B9" s="190" t="s">
        <v>321</v>
      </c>
      <c r="C9" s="173" t="str">
        <f>Datos!A9</f>
        <v xml:space="preserve">Jdos. 1ª Instancia   </v>
      </c>
      <c r="D9" s="173"/>
      <c r="E9" s="1402">
        <f>IF(ISNUMBER(Datos!AQ9),Datos!AQ9," - ")</f>
        <v>7</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640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1797</v>
      </c>
      <c r="Y9" s="374">
        <f>SUM(W9:X9)</f>
        <v>1797</v>
      </c>
      <c r="Z9" s="375" t="str">
        <f>IF(ISNUMBER(Datos!CC9),Datos!CC9," - ")</f>
        <v xml:space="preserve"> - </v>
      </c>
      <c r="AA9" s="372" t="str">
        <f>IF(ISNUMBER(IF(J_V="SI",Datos!L9,Datos!L9+Datos!AB9)-IF(Monitorios="SI",Datos!CD9,0)),
                          IF(J_V="SI",Datos!L9,Datos!L9+Datos!AB9)-IF(Monitorios="SI",Datos!CD9,0),
                          " - ")</f>
        <v xml:space="preserve"> - </v>
      </c>
      <c r="AB9" s="374">
        <f>IF(ISNUMBER(Datos!R9),Datos!R9," - ")</f>
        <v>12782</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453</v>
      </c>
      <c r="AJ9" s="243" t="str">
        <f>IF(ISNUMBER(Datos!BW9),Datos!BW9," - ")</f>
        <v xml:space="preserve"> - </v>
      </c>
      <c r="AK9" s="242" t="str">
        <f>IF(ISNUMBER(Datos!BX9),Datos!BX9," - ")</f>
        <v xml:space="preserve"> - </v>
      </c>
      <c r="AL9" s="266">
        <f>IF(ISNUMBER(NºAsuntos!G9/NºAsuntos!E9),NºAsuntos!G9/NºAsuntos!E9," - ")</f>
        <v>0.8937040065412919</v>
      </c>
      <c r="AM9" s="284">
        <f>IF(ISNUMBER(((NºAsuntos!I9/NºAsuntos!G9)*11)/factor_trimestre),((NºAsuntos!I9/NºAsuntos!G9)*11)/factor_trimestre," - ")</f>
        <v>5.9350411710887467</v>
      </c>
      <c r="AN9" s="267">
        <f>IF(ISNUMBER('Resol  Asuntos'!D9/NºAsuntos!G9),'Resol  Asuntos'!D9/NºAsuntos!G9," - ")</f>
        <v>0.20722781335773102</v>
      </c>
      <c r="AO9" s="268">
        <f>IF(ISNUMBER((NºAsuntos!C9+NºAsuntos!E9)/NºAsuntos!G9),(NºAsuntos!C9+NºAsuntos!E9)/NºAsuntos!G9," - ")</f>
        <v>3.9675205855443734</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1</v>
      </c>
      <c r="F10" s="239">
        <f>IF(ISNUMBER(Datos!L10+Datos!K10-Datos!J10-K10),Datos!L10+Datos!K10-Datos!J10-K10," - ")</f>
        <v>72</v>
      </c>
      <c r="G10" s="373">
        <f>IF(ISNUMBER(Datos!I10),Datos!I10," - ")</f>
        <v>72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31</v>
      </c>
      <c r="X10" s="240">
        <f>IF(ISNUMBER(Datos!Q10),Datos!Q10," - ")</f>
        <v>4</v>
      </c>
      <c r="Y10" s="374">
        <f t="shared" ref="Y10:Y13" si="0">SUM(W10:X10)</f>
        <v>35</v>
      </c>
      <c r="Z10" s="375" t="str">
        <f>IF(ISNUMBER(Datos!CC10),Datos!CC10," - ")</f>
        <v xml:space="preserve"> - </v>
      </c>
      <c r="AA10" s="372">
        <f>IF(ISNUMBER(Datos!L10),Datos!L10,"-")</f>
        <v>67</v>
      </c>
      <c r="AB10" s="374">
        <f>IF(ISNUMBER(Datos!R10),Datos!R10," - ")</f>
        <v>220</v>
      </c>
      <c r="AC10" s="374">
        <f t="shared" ref="AC10:AC13" si="1">IF(ISNUMBER(AA10+AB10),AA10+AB10," - ")</f>
        <v>287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1.1923076923076923</v>
      </c>
      <c r="AM10" s="284">
        <f>IF(ISNUMBER(((NºAsuntos!I10/NºAsuntos!G10)*11)/factor_trimestre),((NºAsuntos!I10/NºAsuntos!G10)*11)/factor_trimestre," - ")</f>
        <v>4.32258064516129</v>
      </c>
      <c r="AN10" s="267">
        <f>IF(ISNUMBER('Resol  Asuntos'!D10/NºAsuntos!G10),'Resol  Asuntos'!D10/NºAsuntos!G10," - ")</f>
        <v>0.35483870967741937</v>
      </c>
      <c r="AO10" s="268">
        <f>IF(ISNUMBER((NºAsuntos!C10+NºAsuntos!E10)/NºAsuntos!G10),(NºAsuntos!C10+NºAsuntos!E10)/NºAsuntos!G10," - ")</f>
        <v>3.161290322580645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2</v>
      </c>
      <c r="B11" s="300" t="s">
        <v>321</v>
      </c>
      <c r="C11" s="7" t="str">
        <f>Datos!A11</f>
        <v xml:space="preserve">Jdos. Familia                                   </v>
      </c>
      <c r="D11" s="7"/>
      <c r="E11" s="1402">
        <f>IF(ISNUMBER(Datos!AQ11),Datos!AQ11," - ")</f>
        <v>2</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70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57</v>
      </c>
      <c r="Y11" s="374">
        <f t="shared" si="0"/>
        <v>57</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664</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141</v>
      </c>
      <c r="AJ11" s="245" t="str">
        <f>IF(ISNUMBER(Datos!BW11),Datos!BW11," - ")</f>
        <v xml:space="preserve"> - </v>
      </c>
      <c r="AK11" s="246" t="str">
        <f>IF(ISNUMBER(Datos!BX11),Datos!BX11," - ")</f>
        <v xml:space="preserve"> - </v>
      </c>
      <c r="AL11" s="266">
        <f>IF(ISNUMBER(NºAsuntos!G11/NºAsuntos!E11),NºAsuntos!G11/NºAsuntos!E11," - ")</f>
        <v>0.91826923076923073</v>
      </c>
      <c r="AM11" s="284">
        <f>IF(ISNUMBER(((NºAsuntos!I11/NºAsuntos!G11)*11)/factor_trimestre),((NºAsuntos!I11/NºAsuntos!G11)*11)/factor_trimestre," - ")</f>
        <v>6.6492146596858639</v>
      </c>
      <c r="AN11" s="267">
        <f>IF(ISNUMBER('Resol  Asuntos'!D11/NºAsuntos!G11),'Resol  Asuntos'!D11/NºAsuntos!G11," - ")</f>
        <v>0.36910994764397903</v>
      </c>
      <c r="AO11" s="268">
        <f>IF(ISNUMBER((NºAsuntos!C11+NºAsuntos!E11)/NºAsuntos!G11),(NºAsuntos!C11+NºAsuntos!E11)/NºAsuntos!G11," - ")</f>
        <v>4.3036649214659688</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321</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t="str">
        <f>IF(ISNUMBER(Datos!Q12),Datos!Q12," - ")</f>
        <v xml:space="preserve"> - </v>
      </c>
      <c r="Y12" s="374">
        <f t="shared" si="0"/>
        <v>0</v>
      </c>
      <c r="Z12" s="375" t="str">
        <f>IF(ISNUMBER(Datos!CC12),Datos!CC12," - ")</f>
        <v xml:space="preserve"> - </v>
      </c>
      <c r="AA12" s="372" t="str">
        <f>IF(ISNUMBER(IF(J_V="SI",Datos!L12,Datos!L12+Datos!AB12)-IF(Monitorios="SI",Datos!CD12,0)),
                          IF(J_V="SI",Datos!L12,Datos!L12+Datos!AB12)-IF(Monitorios="SI",Datos!CD12,0),
                          " - ")</f>
        <v xml:space="preserve"> - </v>
      </c>
      <c r="AB12" s="374" t="str">
        <f>IF(ISNUMBER(Datos!R12),Datos!R12," - ")</f>
        <v xml:space="preserve"> - </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t="str">
        <f>IF(ISNUMBER(Datos!M12),Datos!M12," - ")</f>
        <v xml:space="preserve"> - </v>
      </c>
      <c r="AJ12" s="243" t="str">
        <f>IF(ISNUMBER(Datos!BW12),Datos!BW12," - ")</f>
        <v xml:space="preserve"> - </v>
      </c>
      <c r="AK12" s="242" t="str">
        <f>IF(ISNUMBER(Datos!BX12),Datos!BX12," - ")</f>
        <v xml:space="preserve"> - </v>
      </c>
      <c r="AL12" s="266" t="str">
        <f>IF(ISNUMBER(NºAsuntos!G12/NºAsuntos!E12),NºAsuntos!G12/NºAsuntos!E12," - ")</f>
        <v xml:space="preserve"> - </v>
      </c>
      <c r="AM12" s="284" t="str">
        <f>IF(ISNUMBER(((NºAsuntos!I12/NºAsuntos!G12)*11)/factor_trimestre),((NºAsuntos!I12/NºAsuntos!G12)*11)/factor_trimestre," - ")</f>
        <v xml:space="preserve"> - </v>
      </c>
      <c r="AN12" s="267" t="str">
        <f>IF(ISNUMBER('Resol  Asuntos'!D12/NºAsuntos!G12),'Resol  Asuntos'!D12/NºAsuntos!G12," - ")</f>
        <v xml:space="preserve"> - </v>
      </c>
      <c r="AO12" s="268" t="str">
        <f>IF(ISNUMBER((NºAsuntos!C12+NºAsuntos!E12)/NºAsuntos!G12),(NºAsuntos!C12+NºAsuntos!E12)/NºAsuntos!G12," - ")</f>
        <v xml:space="preserve"> - </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10</v>
      </c>
      <c r="F14" s="1162">
        <f t="shared" si="5"/>
        <v>72</v>
      </c>
      <c r="G14" s="1163">
        <f t="shared" si="5"/>
        <v>72</v>
      </c>
      <c r="H14" s="1162">
        <f t="shared" si="5"/>
        <v>0</v>
      </c>
      <c r="I14" s="1164">
        <f t="shared" si="5"/>
        <v>0</v>
      </c>
      <c r="J14" s="1164">
        <f t="shared" si="5"/>
        <v>0</v>
      </c>
      <c r="K14" s="1164">
        <f t="shared" si="5"/>
        <v>0</v>
      </c>
      <c r="L14" s="1164">
        <f t="shared" si="5"/>
        <v>714</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31</v>
      </c>
      <c r="X14" s="1164">
        <f t="shared" si="6"/>
        <v>1858</v>
      </c>
      <c r="Y14" s="1165">
        <f t="shared" si="6"/>
        <v>1889</v>
      </c>
      <c r="Z14" s="1165">
        <f t="shared" si="6"/>
        <v>0</v>
      </c>
      <c r="AA14" s="1165">
        <f t="shared" si="6"/>
        <v>67</v>
      </c>
      <c r="AB14" s="1165">
        <f t="shared" si="6"/>
        <v>13666</v>
      </c>
      <c r="AC14" s="1165">
        <f t="shared" si="6"/>
        <v>287</v>
      </c>
      <c r="AD14" s="1165">
        <f t="shared" si="6"/>
        <v>0</v>
      </c>
      <c r="AE14" s="1169">
        <f t="shared" si="6"/>
        <v>0</v>
      </c>
      <c r="AF14" s="1162">
        <f t="shared" si="6"/>
        <v>0</v>
      </c>
      <c r="AG14" s="1170">
        <f t="shared" si="6"/>
        <v>0</v>
      </c>
      <c r="AH14" s="1167">
        <f t="shared" si="6"/>
        <v>0</v>
      </c>
      <c r="AI14" s="1162">
        <f t="shared" si="6"/>
        <v>605</v>
      </c>
      <c r="AJ14" s="1164">
        <f t="shared" si="6"/>
        <v>0</v>
      </c>
      <c r="AK14" s="1167">
        <f>SUBTOTAL(9,AK9:AK13)</f>
        <v>0</v>
      </c>
      <c r="AL14" s="1171">
        <f>IF(ISNUMBER(NºAsuntos!G14/NºAsuntos!E14),NºAsuntos!G14/NºAsuntos!E14," - ")</f>
        <v>0.89993074792243766</v>
      </c>
      <c r="AM14" s="1171">
        <f>IF(ISNUMBER(((NºAsuntos!I14/NºAsuntos!G14)*11)/factor_trimestre),((NºAsuntos!I14/NºAsuntos!G14)*11)/factor_trimestre," - ")</f>
        <v>6.0207772220084648</v>
      </c>
      <c r="AN14" s="1172">
        <f>IF(ISNUMBER('Resol  Asuntos'!D14/NºAsuntos!G14),'Resol  Asuntos'!D14/NºAsuntos!G14," - ")</f>
        <v>0.23278183916891113</v>
      </c>
      <c r="AO14" s="1173">
        <f>IF(ISNUMBER((NºAsuntos!C14+NºAsuntos!E14)/NºAsuntos!G14),(NºAsuntos!C14+NºAsuntos!E14)/NºAsuntos!G14," - ")</f>
        <v>4.0073105040400154</v>
      </c>
      <c r="AP14" s="1174" t="str">
        <f t="shared" si="2"/>
        <v xml:space="preserve"> - </v>
      </c>
      <c r="AQ14" s="1174">
        <f>IF(ISNUMBER((H14-W14+K14)/(F14)),(H14-W14+K14)/(F14)," - ")</f>
        <v>-0.43055555555555558</v>
      </c>
      <c r="AR14" s="1175">
        <f>IF(ISNUMBER((Datos!P14-Datos!Q14)/(Datos!R14-Datos!P14+Datos!Q14)),(Datos!P14-Datos!Q14)/(Datos!R14-Datos!P14+Datos!Q14)," - ")</f>
        <v>-7.7245104659014185E-2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511</v>
      </c>
      <c r="C16" s="173" t="str">
        <f>Datos!A16</f>
        <v xml:space="preserve">Jdos. Instrucción                               </v>
      </c>
      <c r="D16" s="173"/>
      <c r="E16" s="1402">
        <f>IF(ISNUMBER(Datos!AQ16),Datos!AQ16," - ")</f>
        <v>4</v>
      </c>
      <c r="F16" s="239">
        <f>IF(ISNUMBER(AA16+W16-Datos!J16-K16),AA16+W16-Datos!J16-K16," - ")</f>
        <v>1650</v>
      </c>
      <c r="G16" s="373">
        <f>IF(ISNUMBER(IF(D_I="SI",Datos!I16,Datos!I16+Datos!AC16)),IF(D_I="SI",Datos!I16,Datos!I16+Datos!AC16)," - ")</f>
        <v>1590</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68</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1771</v>
      </c>
      <c r="X16" s="240">
        <f>IF(ISNUMBER(Datos!Q16),Datos!Q16," - ")</f>
        <v>163</v>
      </c>
      <c r="Y16" s="374">
        <f>SUM(W16)</f>
        <v>1771</v>
      </c>
      <c r="Z16" s="375" t="str">
        <f>IF(ISNUMBER(Datos!CC16),Datos!CC16," - ")</f>
        <v xml:space="preserve"> - </v>
      </c>
      <c r="AA16" s="372">
        <f>IF(ISNUMBER(IF(D_I="SI",Datos!L16,Datos!L16+Datos!AF16)),IF(D_I="SI",Datos!L16,Datos!L16+Datos!AF16)," - ")</f>
        <v>1752</v>
      </c>
      <c r="AB16" s="374">
        <f>IF(ISNUMBER(Datos!R16),Datos!R16," - ")</f>
        <v>301</v>
      </c>
      <c r="AC16" s="374">
        <f t="shared" ref="AC16:AC22" si="8">IF(ISNUMBER(AA16+AB16),AA16+AB16," - ")</f>
        <v>2053</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250</v>
      </c>
      <c r="AJ16" s="245" t="str">
        <f>IF(ISNUMBER(Datos!BW16),Datos!BW16," - ")</f>
        <v xml:space="preserve"> - </v>
      </c>
      <c r="AK16" s="246" t="str">
        <f>IF(ISNUMBER(Datos!BX16),Datos!BX16," - ")</f>
        <v xml:space="preserve"> - </v>
      </c>
      <c r="AL16" s="266">
        <f>IF(ISNUMBER(NºAsuntos!G16/NºAsuntos!E16),NºAsuntos!G16/NºAsuntos!E16," - ")</f>
        <v>0.94554191137213028</v>
      </c>
      <c r="AM16" s="284">
        <f>IF(ISNUMBER(((NºAsuntos!I16/NºAsuntos!G16)*11)/factor_trimestre),((NºAsuntos!I16/NºAsuntos!G16)*11)/factor_trimestre," - ")</f>
        <v>1.9785431959345003</v>
      </c>
      <c r="AN16" s="267">
        <f>IF(ISNUMBER('Resol  Asuntos'!D16/NºAsuntos!G16),'Resol  Asuntos'!D16/NºAsuntos!G16," - ")</f>
        <v>0.1411631846414455</v>
      </c>
      <c r="AO16" s="268">
        <f>IF(ISNUMBER((NºAsuntos!C16+NºAsuntos!E16)/NºAsuntos!G16),(NºAsuntos!C16+NºAsuntos!E16)/NºAsuntos!G16," - ")</f>
        <v>1.9553924336533033</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511</v>
      </c>
      <c r="C17" s="173" t="str">
        <f>Datos!A17</f>
        <v xml:space="preserve">Jdos. 1ª Instª. e Instr.                        </v>
      </c>
      <c r="D17" s="173"/>
      <c r="E17" s="1402">
        <f>IF(ISNUMBER(Datos!AQ17),Datos!AQ17," - ")</f>
        <v>0</v>
      </c>
      <c r="F17" s="239" t="str">
        <f>IF(ISNUMBER(AA17+W17-Datos!J17-K17),AA17+W17-Datos!J17-K17," - ")</f>
        <v xml:space="preserve"> - </v>
      </c>
      <c r="G17" s="373" t="str">
        <f>IF(ISNUMBER(IF(D_I="SI",Datos!I17,Datos!I17+Datos!AC17)),IF(D_I="SI",Datos!I17,Datos!I17+Datos!AC17)," - ")</f>
        <v xml:space="preserve"> - </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t="str">
        <f>IF(ISNUMBER(IF(D_I="SI",Datos!K17,Datos!K17+Datos!AE17)),IF(D_I="SI",Datos!K17,Datos!K17+Datos!AE17)," - ")</f>
        <v xml:space="preserve"> - </v>
      </c>
      <c r="X17" s="240" t="str">
        <f>IF(ISNUMBER(Datos!Q17),Datos!Q17," - ")</f>
        <v xml:space="preserve"> - </v>
      </c>
      <c r="Y17" s="374">
        <f t="shared" ref="Y17:Y22" si="9">SUM(W17:X17)</f>
        <v>0</v>
      </c>
      <c r="Z17" s="375" t="str">
        <f>IF(ISNUMBER(Datos!CC17),Datos!CC17," - ")</f>
        <v xml:space="preserve"> - </v>
      </c>
      <c r="AA17" s="372" t="str">
        <f>IF(ISNUMBER(IF(D_I="SI",Datos!L17,Datos!L17+Datos!AF17)),IF(D_I="SI",Datos!L17,Datos!L17+Datos!AF17)," - ")</f>
        <v xml:space="preserve"> - </v>
      </c>
      <c r="AB17" s="374" t="str">
        <f>IF(ISNUMBER(Datos!R17),Datos!R17," - ")</f>
        <v xml:space="preserve"> - </v>
      </c>
      <c r="AC17" s="374" t="str">
        <f t="shared" si="8"/>
        <v xml:space="preserve"> - </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t="str">
        <f>IF(ISNUMBER(Datos!M17),Datos!M17," - ")</f>
        <v xml:space="preserve"> - </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125</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211</v>
      </c>
      <c r="X18" s="240">
        <f>IF(ISNUMBER(Datos!Q18),Datos!Q18," - ")</f>
        <v>1</v>
      </c>
      <c r="Y18" s="374">
        <f t="shared" si="9"/>
        <v>212</v>
      </c>
      <c r="Z18" s="375" t="str">
        <f>IF(ISNUMBER(Datos!CC18),Datos!CC18," - ")</f>
        <v xml:space="preserve"> - </v>
      </c>
      <c r="AA18" s="372">
        <f>IF(ISNUMBER(Datos!L18),Datos!L18,"-")</f>
        <v>141</v>
      </c>
      <c r="AB18" s="374">
        <f>IF(ISNUMBER(Datos!R18),Datos!R18," - ")</f>
        <v>4</v>
      </c>
      <c r="AC18" s="374">
        <f t="shared" si="8"/>
        <v>145</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20</v>
      </c>
      <c r="AJ18" s="245" t="str">
        <f>IF(ISNUMBER(Datos!BW18),Datos!BW18," - ")</f>
        <v xml:space="preserve"> - </v>
      </c>
      <c r="AK18" s="246" t="str">
        <f>IF(ISNUMBER(Datos!BX18),Datos!BX18," - ")</f>
        <v xml:space="preserve"> - </v>
      </c>
      <c r="AL18" s="266">
        <f>IF(ISNUMBER(NºAsuntos!G18/NºAsuntos!E18),NºAsuntos!G18/NºAsuntos!E18," - ")</f>
        <v>0.92951541850220265</v>
      </c>
      <c r="AM18" s="284">
        <f>IF(ISNUMBER(((NºAsuntos!I18/NºAsuntos!G18)*11)/factor_trimestre),((NºAsuntos!I18/NºAsuntos!G18)*11)/factor_trimestre," - ")</f>
        <v>1.3364928909952607</v>
      </c>
      <c r="AN18" s="267">
        <f>IF(ISNUMBER('Resol  Asuntos'!D18/NºAsuntos!G18),'Resol  Asuntos'!D18/NºAsuntos!G18," - ")</f>
        <v>9.4786729857819899E-2</v>
      </c>
      <c r="AO18" s="268">
        <f>IF(ISNUMBER((NºAsuntos!C18+NºAsuntos!E18)/NºAsuntos!G18),(NºAsuntos!C18+NºAsuntos!E18)/NºAsuntos!G18," - ")</f>
        <v>1.6682464454976302</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1650</v>
      </c>
      <c r="G23" s="1163">
        <f>SUBTOTAL(9,G16:G22)</f>
        <v>1715</v>
      </c>
      <c r="H23" s="1162">
        <f t="shared" ref="H23:O23" si="13">SUBTOTAL(9,H15:H22)</f>
        <v>0</v>
      </c>
      <c r="I23" s="1164">
        <f t="shared" si="13"/>
        <v>0</v>
      </c>
      <c r="J23" s="1164">
        <f t="shared" si="13"/>
        <v>0</v>
      </c>
      <c r="K23" s="1164">
        <f t="shared" si="13"/>
        <v>0</v>
      </c>
      <c r="L23" s="1164">
        <f t="shared" si="13"/>
        <v>70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1982</v>
      </c>
      <c r="X23" s="1164">
        <f t="shared" si="14"/>
        <v>164</v>
      </c>
      <c r="Y23" s="1165">
        <f t="shared" si="14"/>
        <v>1983</v>
      </c>
      <c r="Z23" s="1165">
        <f t="shared" si="14"/>
        <v>0</v>
      </c>
      <c r="AA23" s="1165">
        <f t="shared" si="14"/>
        <v>1893</v>
      </c>
      <c r="AB23" s="1165">
        <f t="shared" si="14"/>
        <v>305</v>
      </c>
      <c r="AC23" s="1165">
        <f t="shared" si="14"/>
        <v>2198</v>
      </c>
      <c r="AD23" s="1165">
        <f t="shared" si="14"/>
        <v>0</v>
      </c>
      <c r="AE23" s="1169">
        <f t="shared" si="14"/>
        <v>0</v>
      </c>
      <c r="AF23" s="1162">
        <f t="shared" si="14"/>
        <v>0</v>
      </c>
      <c r="AG23" s="1170">
        <f t="shared" si="14"/>
        <v>0</v>
      </c>
      <c r="AH23" s="1167">
        <f t="shared" si="14"/>
        <v>0</v>
      </c>
      <c r="AI23" s="1162">
        <f t="shared" si="14"/>
        <v>270</v>
      </c>
      <c r="AJ23" s="1164">
        <f t="shared" si="14"/>
        <v>0</v>
      </c>
      <c r="AK23" s="1167">
        <f t="shared" si="14"/>
        <v>0</v>
      </c>
      <c r="AL23" s="1171">
        <f>IF(ISNUMBER(NºAsuntos!G23/NºAsuntos!E23),NºAsuntos!G23/NºAsuntos!E23," - ")</f>
        <v>0.94380952380952376</v>
      </c>
      <c r="AM23" s="1171">
        <f>IF(ISNUMBER(((NºAsuntos!I23/NºAsuntos!G23)*11)/factor_trimestre),((NºAsuntos!I23/NºAsuntos!G23)*11)/factor_trimestre," - ")</f>
        <v>1.910191725529768</v>
      </c>
      <c r="AN23" s="1172">
        <f>IF(ISNUMBER('Resol  Asuntos'!D23/NºAsuntos!G23),'Resol  Asuntos'!D23/NºAsuntos!G23," - ")</f>
        <v>0.136226034308779</v>
      </c>
      <c r="AO23" s="1173">
        <f>IF(ISNUMBER((NºAsuntos!C23+NºAsuntos!E23)/NºAsuntos!G23),(NºAsuntos!C23+NºAsuntos!E23)/NºAsuntos!G23," - ")</f>
        <v>1.9248234106962665</v>
      </c>
      <c r="AP23" s="1174" t="str">
        <f t="shared" si="2"/>
        <v xml:space="preserve"> - </v>
      </c>
      <c r="AQ23" s="1174">
        <f>IF(ISNUMBER((H23-W23+K23)/(F23)),(H23-W23+K23)/(F23)," - ")</f>
        <v>-1.2012121212121212</v>
      </c>
      <c r="AR23" s="1175">
        <f>IF(ISNUMBER((Datos!P23-Datos!Q23)/(Datos!R23-Datos!P23+Datos!Q23)),(Datos!P23-Datos!Q23)/(Datos!R23-Datos!P23+Datos!Q23)," - ")</f>
        <v>-0.23558897243107768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15</v>
      </c>
      <c r="F31" s="1117">
        <f t="shared" si="20"/>
        <v>1722</v>
      </c>
      <c r="G31" s="1118">
        <f t="shared" si="20"/>
        <v>1787</v>
      </c>
      <c r="H31" s="1117">
        <f t="shared" si="20"/>
        <v>0</v>
      </c>
      <c r="I31" s="1119">
        <f t="shared" si="20"/>
        <v>0</v>
      </c>
      <c r="J31" s="1119">
        <f t="shared" si="20"/>
        <v>0</v>
      </c>
      <c r="K31" s="1180">
        <f t="shared" si="20"/>
        <v>0</v>
      </c>
      <c r="L31" s="1119">
        <f t="shared" si="20"/>
        <v>784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2013</v>
      </c>
      <c r="X31" s="1118">
        <f t="shared" si="21"/>
        <v>2022</v>
      </c>
      <c r="Y31" s="1125">
        <f t="shared" si="21"/>
        <v>3872</v>
      </c>
      <c r="Z31" s="1125">
        <f t="shared" si="21"/>
        <v>0</v>
      </c>
      <c r="AA31" s="1125">
        <f t="shared" si="21"/>
        <v>1960</v>
      </c>
      <c r="AB31" s="1125">
        <f t="shared" si="21"/>
        <v>13971</v>
      </c>
      <c r="AC31" s="1125">
        <f t="shared" si="21"/>
        <v>2485</v>
      </c>
      <c r="AD31" s="1125">
        <f t="shared" si="21"/>
        <v>0</v>
      </c>
      <c r="AE31" s="1127">
        <f t="shared" si="21"/>
        <v>0</v>
      </c>
      <c r="AF31" s="1128">
        <f t="shared" si="21"/>
        <v>0</v>
      </c>
      <c r="AG31" s="1129">
        <f t="shared" si="21"/>
        <v>0</v>
      </c>
      <c r="AH31" s="1127">
        <f t="shared" si="21"/>
        <v>0</v>
      </c>
      <c r="AI31" s="1117">
        <f t="shared" si="21"/>
        <v>875</v>
      </c>
      <c r="AJ31" s="1117">
        <f t="shared" si="21"/>
        <v>0</v>
      </c>
      <c r="AK31" s="1127">
        <f t="shared" si="21"/>
        <v>0</v>
      </c>
      <c r="AL31" s="1183">
        <f>IF(ISNUMBER(NºAsuntos!G31/NºAsuntos!E31),NºAsuntos!G31/NºAsuntos!E31," - ")</f>
        <v>0.91840417000801922</v>
      </c>
      <c r="AM31" s="1184">
        <f>IF(ISNUMBER(((NºAsuntos!I31/NºAsuntos!G31)*11)/factor_trimestre),((NºAsuntos!I31/NºAsuntos!G31)*11)/factor_trimestre," - ")</f>
        <v>4.2423051735428947</v>
      </c>
      <c r="AN31" s="1184">
        <f>IF(ISNUMBER('Resol  Asuntos'!D31/NºAsuntos!G31),'Resol  Asuntos'!D31/NºAsuntos!G31," - ")</f>
        <v>0.19100633049552498</v>
      </c>
      <c r="AO31" s="1185">
        <f>IF(ISNUMBER((NºAsuntos!C31+NºAsuntos!E31)/NºAsuntos!G31),(NºAsuntos!C31+NºAsuntos!E31)/NºAsuntos!G31," - ")</f>
        <v>3.1063086662300807</v>
      </c>
      <c r="AP31" s="1186" t="str">
        <f t="shared" si="2"/>
        <v xml:space="preserve"> - </v>
      </c>
      <c r="AQ31" s="1187">
        <f>IF(OR(ISNUMBER(FIND("01",Criterios!A8,1)),ISNUMBER(FIND("02",Criterios!A8,1)),ISNUMBER(FIND("03",Criterios!A8,1)),ISNUMBER(FIND("04",Criterios!A8,1))),(I31-W31+K31)/(F31-K31),(H31-W31+K31)/(F31-K31))</f>
        <v>-1.1689895470383276</v>
      </c>
      <c r="AR31" s="1188">
        <f>IF(ISNUMBER((Datos!P31-Datos!Q31)/(Datos!R31-Datos!P31+Datos!Q31)),(Datos!P31-Datos!Q31)/(Datos!R31-Datos!P31+Datos!Q31)," - ")</f>
        <v>-8.1399171543165227E-2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510.57142857142856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2.8735535390036615</v>
      </c>
      <c r="F33" s="276">
        <f>IF(ISNUMBER(STDEV(F8:F30)),STDEV(F8:F30),"-")</f>
        <v>834.08776516623243</v>
      </c>
      <c r="G33" s="277">
        <f>IF(ISNUMBER(STDEV(G8:G30)),STDEV(G8:G30),"-")</f>
        <v>782.14829308830713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894.02487448083696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219.87445913015404</v>
      </c>
      <c r="AJ33" s="276">
        <f t="shared" si="25"/>
        <v>0</v>
      </c>
      <c r="AK33" s="278">
        <f t="shared" si="25"/>
        <v>0</v>
      </c>
      <c r="AL33" s="273">
        <f t="shared" si="25"/>
        <v>0.10417206795098495</v>
      </c>
      <c r="AM33" s="274">
        <f t="shared" si="25"/>
        <v>2.2544341727953086</v>
      </c>
      <c r="AN33" s="274">
        <f t="shared" si="25"/>
        <v>0.10774298680220504</v>
      </c>
      <c r="AO33" s="275">
        <f t="shared" si="25"/>
        <v>1.1326285650769816</v>
      </c>
      <c r="AP33" s="317" t="str">
        <f t="shared" si="25"/>
        <v>-</v>
      </c>
      <c r="AQ33" s="318">
        <f t="shared" si="25"/>
        <v>0.54493648354169344</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QmeVNQXzZpiqw1OyfMq2lcBQFEkAw9P9dNa+vlfwnyXH25KgkdlVnInz4RBTrJZBVSYqCmp52otskInaT4KwRw==" saltValue="yoWv8KIaF87U3j7X03SbR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TERRASSA</v>
      </c>
      <c r="E4" s="287"/>
    </row>
    <row r="5" spans="2:20" ht="12.75" customHeight="1">
      <c r="B5" s="297"/>
      <c r="C5" s="1649" t="str">
        <f>"Año:  " &amp;Criterios!B5 &amp; "          Trimestre   " &amp;Criterios!D5 &amp; " al " &amp;Criterios!D6</f>
        <v>Año:  2022          Trimestre   3 al 3</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0.36858006042296071</v>
      </c>
      <c r="I9" s="395">
        <f>IF(ISNUMBER((Tasas!C9-Datos!BE9)/Datos!BE9),(Tasas!C9-Datos!BE9)/Datos!BE9," - ")</f>
        <v>-0.11292227871263624</v>
      </c>
      <c r="J9" s="394">
        <f>IF(ISNUMBER((Tasas!D9-Datos!BF9)/Datos!BF9),(Tasas!D9-Datos!BF9)/Datos!BF9," - ")</f>
        <v>-0.44918667791494871</v>
      </c>
      <c r="K9" s="396">
        <f>IF(ISNUMBER((Tasas!E9-Datos!BG9)/Datos!BG9),(Tasas!E9-Datos!BG9)/Datos!BG9," - ")</f>
        <v>-4.3432864061160259E-2</v>
      </c>
      <c r="M9" t="e">
        <f>IF(Monitorios="SI",Datos!CE9,0)</f>
        <v>#REF!</v>
      </c>
      <c r="N9" t="e">
        <f>IF(Monitorios="SI",Datos!CF9,0)</f>
        <v>#REF!</v>
      </c>
      <c r="O9" t="e">
        <f>IF(Monitorios="SI",Datos!CG9,0)</f>
        <v>#REF!</v>
      </c>
      <c r="P9" t="e">
        <f>IF(Monitorios="SI",Datos!CH9,0)</f>
        <v>#REF!</v>
      </c>
      <c r="Q9">
        <f>IF(J_V="SI",0,Datos!AG9)</f>
        <v>176</v>
      </c>
      <c r="R9">
        <f>IF(J_V="SI",0,Datos!AH9)</f>
        <v>131</v>
      </c>
      <c r="S9">
        <f>IF(J_V="SI",0,Datos!AI9)</f>
        <v>119</v>
      </c>
      <c r="T9">
        <f>IF(J_V="SI",0,Datos!AJ9)</f>
        <v>204</v>
      </c>
    </row>
    <row r="10" spans="2:20" ht="14.25">
      <c r="B10" s="300" t="s">
        <v>321</v>
      </c>
      <c r="C10" s="7" t="str">
        <f>Datos!A10</f>
        <v>Jdos. Violencia contra la mujer</v>
      </c>
      <c r="D10" s="397">
        <f>IF(ISNUMBER((Datos!I10-Datos!S10)/Datos!S10),(Datos!I10-Datos!S10)/Datos!S10," - ")</f>
        <v>-0.16279069767441862</v>
      </c>
      <c r="E10" s="393">
        <f>IF(ISNUMBER((Datos!J10-Datos!T10)/Datos!T10),(Datos!J10-Datos!T10)/Datos!T10," - ")</f>
        <v>-0.1875</v>
      </c>
      <c r="F10" s="393">
        <f>IF(ISNUMBER((Datos!K10-Datos!U10)/Datos!U10),(Datos!K10-Datos!U10)/Datos!U10," - ")</f>
        <v>0.10714285714285714</v>
      </c>
      <c r="G10" s="394">
        <f>IF(ISNUMBER((Datos!L10-Datos!V10)/Datos!V10),(Datos!L10-Datos!V10)/Datos!V10," - ")</f>
        <v>-0.25555555555555554</v>
      </c>
      <c r="H10" s="244">
        <f>IF(ISNUMBER((Datos!M10-Datos!W10)/Datos!W10),(Datos!M10-Datos!W10)/Datos!W10," - ")</f>
        <v>0.375</v>
      </c>
      <c r="I10" s="395">
        <f>IF(ISNUMBER((Tasas!C10-Datos!BE10)/Datos!BE10),(Tasas!C10-Datos!BE10)/Datos!BE10," - ")</f>
        <v>-0.3275985663082438</v>
      </c>
      <c r="J10" s="394">
        <f>IF(ISNUMBER((Tasas!D10-Datos!BF10)/Datos!BF10),(Tasas!D10-Datos!BF10)/Datos!BF10," - ")</f>
        <v>0.24193548387096786</v>
      </c>
      <c r="K10" s="396">
        <f>IF(ISNUMBER((Tasas!E10-Datos!BG10)/Datos!BG10),(Tasas!E10-Datos!BG10)/Datos!BG10," - ")</f>
        <v>-0.24986331328594866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-0.26943005181347152</v>
      </c>
      <c r="I11" s="395">
        <f>IF(ISNUMBER((Tasas!C11-Datos!BE11)/Datos!BE11),(Tasas!C11-Datos!BE11)/Datos!BE11," - ")</f>
        <v>0.46379949047511709</v>
      </c>
      <c r="J11" s="394">
        <f>IF(ISNUMBER((Tasas!D11-Datos!BF11)/Datos!BF11),(Tasas!D11-Datos!BF11)/Datos!BF11," - ")</f>
        <v>0.25822384668576492</v>
      </c>
      <c r="K11" s="396">
        <f>IF(ISNUMBER((Tasas!E11-Datos!BG11)/Datos!BG11),(Tasas!E11-Datos!BG11)/Datos!BG11," - ")</f>
        <v>0.35222399271568416</v>
      </c>
      <c r="M11" t="e">
        <f>IF(Monitorios="SI",Datos!CE11,0)</f>
        <v>#REF!</v>
      </c>
      <c r="N11" t="e">
        <f>IF(Monitorios="SI",Datos!CF11,0)</f>
        <v>#REF!</v>
      </c>
      <c r="O11" t="e">
        <f>IF(Monitorios="SI",Datos!CG11,0)</f>
        <v>#REF!</v>
      </c>
      <c r="P11" t="e">
        <f>IF(Monitorios="SI",Datos!CH11,0)</f>
        <v>#REF!</v>
      </c>
      <c r="Q11">
        <f>IF(J_V="SI",0,Datos!AG11)</f>
        <v>141</v>
      </c>
      <c r="R11">
        <f>IF(J_V="SI",0,Datos!AH11)</f>
        <v>144</v>
      </c>
      <c r="S11">
        <f>IF(J_V="SI",0,Datos!AI11)</f>
        <v>151</v>
      </c>
      <c r="T11">
        <f>IF(J_V="SI",0,Datos!AJ11)</f>
        <v>136</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0.13721804511278196</v>
      </c>
      <c r="I14" s="402">
        <f>IF(ISNUMBER((Tasas!C14-Datos!BE14)/Datos!BE14),(Tasas!C14-Datos!BE14)/Datos!BE14," - ")</f>
        <v>-2.965958442573717E-2</v>
      </c>
      <c r="J14" s="400">
        <f>IF(ISNUMBER((Tasas!D14-Datos!BF14)/Datos!BF14),(Tasas!D14-Datos!BF14)/Datos!BF14," - ")</f>
        <v>-0.34712814409835624</v>
      </c>
      <c r="K14" s="403">
        <f>IF(ISNUMBER((Tasas!E14-Datos!BG14)/Datos!BG14),(Tasas!E14-Datos!BG14)/Datos!BG14," - ")</f>
        <v>1.9258982995309176E-2</v>
      </c>
      <c r="M14" t="e">
        <f>IF(Monitorios="SI",Datos!CE14,0)</f>
        <v>#REF!</v>
      </c>
      <c r="N14" t="e">
        <f>IF(Monitorios="SI",Datos!CF14,0)</f>
        <v>#REF!</v>
      </c>
      <c r="O14" t="e">
        <f>IF(Monitorios="SI",Datos!CG14,0)</f>
        <v>#REF!</v>
      </c>
      <c r="P14" t="e">
        <f>IF(Monitorios="SI",Datos!CH14,0)</f>
        <v>#REF!</v>
      </c>
      <c r="Q14">
        <f>IF(J_V="SI",0,Datos!AG14)</f>
        <v>317</v>
      </c>
      <c r="R14">
        <f>IF(J_V="SI",0,Datos!AH14)</f>
        <v>275</v>
      </c>
      <c r="S14">
        <f>IF(J_V="SI",0,Datos!AI14)</f>
        <v>270</v>
      </c>
      <c r="T14">
        <f>IF(J_V="SI",0,Datos!AJ14)</f>
        <v>340</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f>IF(ISNUMBER(
   IF(D_I="SI",(Datos!I16-Datos!S16)/Datos!S16,(Datos!I16+Datos!AC16-(Datos!S16+Datos!AK16))/(Datos!S16+Datos!AK16))
     ),IF(D_I="SI",(Datos!I16-Datos!S16)/Datos!S16,(Datos!I16+Datos!AC16-(Datos!S16+Datos!AK16))/(Datos!S16+Datos!AK16))," - ")</f>
        <v>5.9293804130579615E-2</v>
      </c>
      <c r="E16" s="393">
        <f>IF(ISNUMBER(
   IF(D_I="SI",(Datos!J16-Datos!T16)/Datos!T16,(Datos!J16+Datos!AD16-(Datos!T16+Datos!AL16))/(Datos!T16+Datos!AL16))
     ),IF(D_I="SI",(Datos!J16-Datos!T16)/Datos!T16,(Datos!J16+Datos!AD16-(Datos!T16+Datos!AL16))/(Datos!T16+Datos!AL16))," - ")</f>
        <v>0.10306242638398115</v>
      </c>
      <c r="F16" s="393">
        <f>IF(ISNUMBER(
   IF(D_I="SI",(Datos!K16-Datos!U16)/Datos!U16,(Datos!K16+Datos!AE16-(Datos!U16+Datos!AM16))/(Datos!U16+Datos!AM16))
     ),IF(D_I="SI",(Datos!K16-Datos!U16)/Datos!U16,(Datos!K16+Datos!AE16-(Datos!U16+Datos!AM16))/(Datos!U16+Datos!AM16))," - ")</f>
        <v>0.1041147132169576</v>
      </c>
      <c r="G16" s="394">
        <f>IF(ISNUMBER(
   IF(D_I="SI",(Datos!L16-Datos!V16)/Datos!V16,(Datos!L16+Datos!AF16-(Datos!V16+Datos!AN16))/(Datos!V16+Datos!AN16))
     ),IF(D_I="SI",(Datos!L16-Datos!V16)/Datos!V16,(Datos!L16+Datos!AF16-(Datos!V16+Datos!AN16))/(Datos!V16+Datos!AN16))," - ")</f>
        <v>8.1481481481481488E-2</v>
      </c>
      <c r="H16" s="244">
        <f>IF(ISNUMBER((Datos!M16-Datos!W16)/Datos!W16),(Datos!M16-Datos!W16)/Datos!W16," - ")</f>
        <v>-9.420289855072464E-2</v>
      </c>
      <c r="I16" s="395">
        <f>IF(ISNUMBER((Tasas!C16-Datos!BE16)/Datos!BE16),(Tasas!C16-Datos!BE16)/Datos!BE16," - ")</f>
        <v>-2.0498985716377035E-2</v>
      </c>
      <c r="J16" s="394">
        <f>IF(ISNUMBER((Tasas!D16-Datos!BF16)/Datos!BF16),(Tasas!D16-Datos!BF16)/Datos!BF16," - ")</f>
        <v>-0.17961685447507755</v>
      </c>
      <c r="K16" s="396">
        <f>IF(ISNUMBER((Tasas!E16-Datos!BG16)/Datos!BG16),(Tasas!E16-Datos!BG16)/Datos!BG16," - ")</f>
        <v>-1.955315299159165E-2</v>
      </c>
    </row>
    <row r="17" spans="2:20" ht="14.25">
      <c r="B17" s="300" t="s">
        <v>511</v>
      </c>
      <c r="C17" s="7" t="str">
        <f>Datos!A17</f>
        <v xml:space="preserve">Jdos. 1ª Instª. e Instr.                        </v>
      </c>
      <c r="D17" s="397" t="str">
        <f>IF(ISNUMBER(
   IF(D_I="SI",(Datos!I17-Datos!S17)/Datos!S17,(Datos!I17+Datos!AC17-(Datos!S17+Datos!AK17))/(Datos!S17+Datos!AK17))
     ),IF(D_I="SI",(Datos!I17-Datos!S17)/Datos!S17,(Datos!I17+Datos!AC17-(Datos!S17+Datos!AK17))/(Datos!S17+Datos!AK17))," - ")</f>
        <v xml:space="preserve"> - </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t="str">
        <f>IF(ISNUMBER(
   IF(D_I="SI",(Datos!L17-Datos!V17)/Datos!V17,(Datos!L17+Datos!AF17-(Datos!V17+Datos!AN17))/(Datos!V17+Datos!AN17))
     ),IF(D_I="SI",(Datos!L17-Datos!V17)/Datos!V17,(Datos!L17+Datos!AF17-(Datos!V17+Datos!AN17))/(Datos!V17+Datos!AN17))," - ")</f>
        <v xml:space="preserve"> - </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0.50602409638554213</v>
      </c>
      <c r="E18" s="393">
        <f>IF(ISNUMBER(
   IF(D_I="SI",(Datos!J18-Datos!T18)/Datos!T18,(Datos!J18+Datos!AD18-(Datos!T18+Datos!AL18))/(Datos!T18+Datos!AL18))
     ),IF(D_I="SI",(Datos!J18-Datos!T18)/Datos!T18,(Datos!J18+Datos!AD18-(Datos!T18+Datos!AL18))/(Datos!T18+Datos!AL18))," - ")</f>
        <v>-9.9206349206349201E-2</v>
      </c>
      <c r="F18" s="393">
        <f>IF(ISNUMBER(
   IF(D_I="SI",(Datos!K18-Datos!U18)/Datos!U18,(Datos!K18+Datos!AE18-(Datos!U18+Datos!AM18))/(Datos!U18+Datos!AM18))
     ),IF(D_I="SI",(Datos!K18-Datos!U18)/Datos!U18,(Datos!K18+Datos!AE18-(Datos!U18+Datos!AM18))/(Datos!U18+Datos!AM18))," - ")</f>
        <v>-9.0517241379310345E-2</v>
      </c>
      <c r="G18" s="394">
        <f>IF(ISNUMBER(
   IF(D_I="SI",(Datos!L18-Datos!V18)/Datos!V18,(Datos!L18+Datos!AF18-(Datos!V18+Datos!AN18))/(Datos!V18+Datos!AN18))
     ),IF(D_I="SI",(Datos!L18-Datos!V18)/Datos!V18,(Datos!L18+Datos!AF18-(Datos!V18+Datos!AN18))/(Datos!V18+Datos!AN18))," - ")</f>
        <v>0.36893203883495146</v>
      </c>
      <c r="H18" s="244">
        <f>IF(ISNUMBER((Datos!M18-Datos!W18)/Datos!W18),(Datos!M18-Datos!W18)/Datos!W18," - ")</f>
        <v>-4.7619047619047616E-2</v>
      </c>
      <c r="I18" s="395">
        <f>IF(ISNUMBER((Tasas!C18-Datos!BE18)/Datos!BE18),(Tasas!C18-Datos!BE18)/Datos!BE18," - ")</f>
        <v>0.50517645976165271</v>
      </c>
      <c r="J18" s="394">
        <f>IF(ISNUMBER((Tasas!D18-Datos!BF18)/Datos!BF18),(Tasas!D18-Datos!BF18)/Datos!BF18," - ")</f>
        <v>4.7167682238772206E-2</v>
      </c>
      <c r="K18" s="396">
        <f>IF(ISNUMBER((Tasas!E18-Datos!BG18)/Datos!BG18),(Tasas!E18-Datos!BG18)/Datos!BG18," - ")</f>
        <v>0.15532291150880667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8.2702020202020207E-2</v>
      </c>
      <c r="E23" s="399">
        <f>IF(ISNUMBER(
   IF(D_I="SI",(Datos!J23-Datos!T23)/Datos!T23,(Datos!J23+Datos!AD23-(Datos!T23+Datos!AL23))/(Datos!T23+Datos!AL23))
     ),IF(D_I="SI",(Datos!J23-Datos!T23)/Datos!T23,(Datos!J23+Datos!AD23-(Datos!T23+Datos!AL23))/(Datos!T23+Datos!AL23))," - ")</f>
        <v>7.6923076923076927E-2</v>
      </c>
      <c r="F23" s="399">
        <f>IF(ISNUMBER(
   IF(D_I="SI",(Datos!K23-Datos!U23)/Datos!U23,(Datos!K23+Datos!AE23-(Datos!U23+Datos!AM23))/(Datos!U23+Datos!AM23))
     ),IF(D_I="SI",(Datos!K23-Datos!U23)/Datos!U23,(Datos!K23+Datos!AE23-(Datos!U23+Datos!AM23))/(Datos!U23+Datos!AM23))," - ")</f>
        <v>7.9520697167755991E-2</v>
      </c>
      <c r="G23" s="400">
        <f>IF(ISNUMBER(
   IF(D_I="SI",(Datos!L23-Datos!V23)/Datos!V23,(Datos!L23+Datos!AF23-(Datos!V23+Datos!AN23))/(Datos!V23+Datos!AN23))
     ),IF(D_I="SI",(Datos!L23-Datos!V23)/Datos!V23,(Datos!L23+Datos!AF23-(Datos!V23+Datos!AN23))/(Datos!V23+Datos!AN23))," - ")</f>
        <v>9.8665118978525826E-2</v>
      </c>
      <c r="H23" s="401">
        <f>IF(ISNUMBER((Datos!M23-Datos!W23)/Datos!W23),(Datos!M23-Datos!W23)/Datos!W23," - ")</f>
        <v>-9.0909090909090912E-2</v>
      </c>
      <c r="I23" s="402">
        <f>IF(ISNUMBER((Tasas!C23-Datos!BE23)/Datos!BE23),(Tasas!C23-Datos!BE23)/Datos!BE23," - ")</f>
        <v>1.7734186904426567E-2</v>
      </c>
      <c r="J23" s="400">
        <f>IF(ISNUMBER((Tasas!D23-Datos!BF23)/Datos!BF23),(Tasas!D23-Datos!BF23)/Datos!BF23," - ")</f>
        <v>-0.15787542427300261</v>
      </c>
      <c r="K23" s="403">
        <f>IF(ISNUMBER((Tasas!E23-Datos!BG23)/Datos!BG23),(Tasas!E23-Datos!BG23)/Datos!BG23," - ")</f>
        <v>-6.8528471009581722E-6</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8.1821374224511301E-2</v>
      </c>
      <c r="E31" s="409">
        <f>IF(ISNUMBER(
   IF(J_V="SI",(Datos!J31-Datos!T31)/Datos!T31,(Datos!J31+Datos!Z31-(Datos!T31+Datos!AH31))/(Datos!T31+Datos!AH31))
     ),IF(J_V="SI",(Datos!J31-Datos!T31)/Datos!T31,(Datos!J31+Datos!Z31-(Datos!T31+Datos!AH31))/(Datos!T31+Datos!AH31))," - ")</f>
        <v>0.11488600804649084</v>
      </c>
      <c r="F31" s="409">
        <f>IF(ISNUMBER(
   IF(J_V="SI",(Datos!K31-Datos!U31)/Datos!U31,(Datos!K31+Datos!AA31-(Datos!U31+Datos!AI31))/(Datos!U31+Datos!AI31))
     ),IF(J_V="SI",(Datos!K31-Datos!U31)/Datos!U31,(Datos!K31+Datos!AA31-(Datos!U31+Datos!AI31))/(Datos!U31+Datos!AI31))," - ")</f>
        <v>7.8389830508474576E-2</v>
      </c>
      <c r="G31" s="410">
        <f>IF(ISNUMBER(
   IF(J_V="SI",(Datos!L31-Datos!V31)/Datos!V31,(Datos!L31+Datos!AB31-(Datos!V31+Datos!AJ31))/(Datos!V31+Datos!AJ31))
     ),IF(J_V="SI",(Datos!L31-Datos!V31)/Datos!V31,(Datos!L31+Datos!AB31-(Datos!V31+Datos!AJ31))/(Datos!V31+Datos!AJ31))," - ")</f>
        <v>5.550727786226374E-2</v>
      </c>
      <c r="H31" s="411">
        <f>IF(ISNUMBER((Datos!M31-Datos!W31)/Datos!W31),(Datos!M31-Datos!W31)/Datos!W31," - ")</f>
        <v>5.5488540410132688E-2</v>
      </c>
      <c r="I31" s="408">
        <f>IF(ISNUMBER((Tasas!C31-Datos!BE31)/Datos!BE31),(Tasas!C31-Datos!BE31)/Datos!BE31," - ")</f>
        <v>-2.121918437919745E-2</v>
      </c>
      <c r="J31" s="409">
        <f>IF(ISNUMBER((Tasas!D31-Datos!BF31)/Datos!BF31),(Tasas!D31-Datos!BF31)/Datos!BF31," - ")</f>
        <v>-0.29870795856094196</v>
      </c>
      <c r="K31" s="410">
        <f>IF(ISNUMBER((Tasas!E31-Datos!BG31)/Datos!BG31),(Tasas!E31-Datos!BG31)/Datos!BG31," - ")</f>
        <v>1.3720458949480107E-2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0.27931745798284519</v>
      </c>
      <c r="E33" s="303">
        <f t="shared" si="1"/>
        <v>0.1398687938521363</v>
      </c>
      <c r="F33" s="303">
        <f t="shared" si="1"/>
        <v>9.4534399314855661E-2</v>
      </c>
      <c r="G33" s="304">
        <f t="shared" si="1"/>
        <v>0.25576980445295872</v>
      </c>
      <c r="H33" s="310">
        <f t="shared" si="1"/>
        <v>0.24725930130805329</v>
      </c>
      <c r="I33" s="302">
        <f t="shared" si="1"/>
        <v>0.30464470796674525</v>
      </c>
      <c r="J33" s="303">
        <f t="shared" si="1"/>
        <v>0.27621055460342203</v>
      </c>
      <c r="K33" s="304">
        <f t="shared" si="1"/>
        <v>0.18561566938130558</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XYs7YdPx/SsQAxhXmNHvV4ca1V/om1UF3YlADBH4G+HafroaYeRD2PmdC6FyaXxmlF5Gricz6jaUnr8cSGGsng==" saltValue="YCpJSI4GFp6siD+qNij8fw=="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2023-05-06T01:16:18Z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